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aotto\OneDrive - TRL Limited\Recordings\RN 31\DISSEMINATION 2\IRF Web\"/>
    </mc:Choice>
  </mc:AlternateContent>
  <xr:revisionPtr revIDLastSave="0" documentId="13_ncr:1_{ABDE8438-97A7-4D96-9AE0-2B3ED895CC1A}" xr6:coauthVersionLast="47" xr6:coauthVersionMax="47" xr10:uidLastSave="{00000000-0000-0000-0000-000000000000}"/>
  <workbookProtection workbookAlgorithmName="SHA-512" workbookHashValue="Eygdwaso+3nmnnKkbc4BtA85GNtGBmUh2UOaDtC4UrffzpwC8keDo29liwduX5TCjD612O7Ea72rRMCjrNqU7A==" workbookSaltValue="mihxo99HZDA8ClMaWojZ+g==" workbookSpinCount="100000" lockStructure="1"/>
  <bookViews>
    <workbookView xWindow="19090" yWindow="-110" windowWidth="19420" windowHeight="10420" activeTab="2" xr2:uid="{C31DD0BB-E106-488B-B6C0-C6FEF3505536}"/>
  </bookViews>
  <sheets>
    <sheet name="Disclaimer" sheetId="16" r:id="rId1"/>
    <sheet name="General Instructions" sheetId="17" r:id="rId2"/>
    <sheet name="Dashboard" sheetId="1" r:id="rId3"/>
    <sheet name="Materials Unit Costs" sheetId="9" r:id="rId4"/>
    <sheet name="Pavement Options" sheetId="8" r:id="rId5"/>
    <sheet name="Emissions for Pavement Options" sheetId="15" r:id="rId6"/>
    <sheet name="Resilience and ESIA Scores" sheetId="13" r:id="rId7"/>
    <sheet name="Summary of Section Costs" sheetId="12" r:id="rId8"/>
    <sheet name="Summary of Emission Quantities" sheetId="14" r:id="rId9"/>
    <sheet name="CO2e Factors"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 l="1" a="1"/>
  <c r="H35" i="1" s="1"/>
  <c r="G35" i="1" a="1"/>
  <c r="G35" i="1" s="1"/>
  <c r="H34" i="1" a="1"/>
  <c r="H34" i="1" s="1"/>
  <c r="G34" i="1" a="1"/>
  <c r="G34" i="1" s="1"/>
  <c r="H33" i="1" a="1"/>
  <c r="H33" i="1" s="1"/>
  <c r="G33" i="1" a="1"/>
  <c r="G33" i="1" s="1"/>
  <c r="H32" i="1" a="1"/>
  <c r="H32" i="1" s="1"/>
  <c r="G32" i="1" a="1"/>
  <c r="G32" i="1" s="1"/>
  <c r="H31" i="1" a="1"/>
  <c r="H31" i="1" s="1"/>
  <c r="G31" i="1" a="1"/>
  <c r="G31" i="1" s="1"/>
  <c r="H30" i="1" a="1"/>
  <c r="H30" i="1" s="1"/>
  <c r="G30" i="1" a="1"/>
  <c r="G30" i="1" s="1"/>
  <c r="H29" i="1" a="1"/>
  <c r="H29" i="1" s="1"/>
  <c r="G29" i="1" a="1"/>
  <c r="G29" i="1" s="1"/>
  <c r="E36" i="1" s="1"/>
  <c r="H6" i="1" a="1"/>
  <c r="H6" i="1" s="1"/>
  <c r="H7" i="1" a="1"/>
  <c r="H7" i="1" s="1"/>
  <c r="G6" i="1" a="1"/>
  <c r="G6" i="1" s="1"/>
  <c r="G7" i="1" a="1"/>
  <c r="G7" i="1" s="1"/>
  <c r="F9" i="1"/>
  <c r="C10" i="1"/>
  <c r="H10" i="1" s="1" a="1"/>
  <c r="H10" i="1" s="1"/>
  <c r="F10" i="1"/>
  <c r="E10" i="1"/>
  <c r="E9" i="1"/>
  <c r="D10" i="1"/>
  <c r="D9" i="1"/>
  <c r="I15" i="8"/>
  <c r="J19" i="15"/>
  <c r="I9" i="8"/>
  <c r="J9" i="8" s="1"/>
  <c r="H31" i="10"/>
  <c r="H30" i="10"/>
  <c r="H29" i="10"/>
  <c r="G10" i="1" l="1" a="1"/>
  <c r="G10" i="1" s="1"/>
  <c r="D36" i="1"/>
  <c r="C36" i="1"/>
  <c r="F36" i="1"/>
  <c r="H50" i="10"/>
  <c r="H49" i="10"/>
  <c r="I17" i="15" l="1"/>
  <c r="J17" i="15" s="1"/>
  <c r="N17" i="15" s="1"/>
  <c r="I16" i="15"/>
  <c r="J16" i="15" s="1"/>
  <c r="N16" i="15" s="1"/>
  <c r="I15" i="15"/>
  <c r="J15" i="15" s="1"/>
  <c r="N15" i="15" s="1"/>
  <c r="I214" i="8"/>
  <c r="I214" i="15"/>
  <c r="N255" i="15"/>
  <c r="N239" i="15"/>
  <c r="N237" i="15"/>
  <c r="N236" i="15"/>
  <c r="N235" i="15"/>
  <c r="N219" i="15"/>
  <c r="N217" i="15"/>
  <c r="N216" i="15"/>
  <c r="N215" i="15"/>
  <c r="N199" i="15"/>
  <c r="N197" i="15"/>
  <c r="N196" i="15"/>
  <c r="N191" i="15"/>
  <c r="N175" i="15"/>
  <c r="N173" i="15"/>
  <c r="N172" i="15"/>
  <c r="N171" i="15"/>
  <c r="N155" i="15"/>
  <c r="N153" i="15"/>
  <c r="N152" i="15"/>
  <c r="N151" i="15"/>
  <c r="N135" i="15"/>
  <c r="N133" i="15"/>
  <c r="N132" i="15"/>
  <c r="N127" i="15"/>
  <c r="N111" i="15"/>
  <c r="N109" i="15"/>
  <c r="N108" i="15"/>
  <c r="N107" i="15"/>
  <c r="N91" i="15"/>
  <c r="N89" i="15"/>
  <c r="N88" i="15"/>
  <c r="N87" i="15"/>
  <c r="N71" i="15"/>
  <c r="N69" i="15"/>
  <c r="N68" i="15"/>
  <c r="N63" i="15"/>
  <c r="N47" i="15"/>
  <c r="N45" i="15"/>
  <c r="N44" i="15"/>
  <c r="N43" i="15"/>
  <c r="N27" i="15"/>
  <c r="N25" i="15"/>
  <c r="N24" i="15"/>
  <c r="N5" i="15"/>
  <c r="N7" i="15"/>
  <c r="N23" i="15"/>
  <c r="N4" i="15"/>
  <c r="L255" i="15"/>
  <c r="L254" i="15"/>
  <c r="L253" i="15"/>
  <c r="L252" i="15"/>
  <c r="L251" i="15"/>
  <c r="L246" i="15"/>
  <c r="L245" i="15"/>
  <c r="L243" i="15"/>
  <c r="L239" i="15"/>
  <c r="L236" i="15"/>
  <c r="L235" i="15"/>
  <c r="L234" i="15"/>
  <c r="L233" i="15"/>
  <c r="L232" i="15"/>
  <c r="L231" i="15"/>
  <c r="L226" i="15"/>
  <c r="L225" i="15"/>
  <c r="L223" i="15"/>
  <c r="L219" i="15"/>
  <c r="L216" i="15"/>
  <c r="L215" i="15"/>
  <c r="L214" i="15"/>
  <c r="L213" i="15"/>
  <c r="L212" i="15"/>
  <c r="L211" i="15"/>
  <c r="L206" i="15"/>
  <c r="L205" i="15"/>
  <c r="L203" i="15"/>
  <c r="L199" i="15"/>
  <c r="L196" i="15"/>
  <c r="L191" i="15"/>
  <c r="L190" i="15"/>
  <c r="L189" i="15"/>
  <c r="L188" i="15"/>
  <c r="L187" i="15"/>
  <c r="L182" i="15"/>
  <c r="L181" i="15"/>
  <c r="L179" i="15"/>
  <c r="L175" i="15"/>
  <c r="L172" i="15"/>
  <c r="L171" i="15"/>
  <c r="L170" i="15"/>
  <c r="L169" i="15"/>
  <c r="L168" i="15"/>
  <c r="L167" i="15"/>
  <c r="L162" i="15"/>
  <c r="L161" i="15"/>
  <c r="L159" i="15"/>
  <c r="L155" i="15"/>
  <c r="L152" i="15"/>
  <c r="L151" i="15"/>
  <c r="L150" i="15"/>
  <c r="L149" i="15"/>
  <c r="L148" i="15"/>
  <c r="L147" i="15"/>
  <c r="L142" i="15"/>
  <c r="L141" i="15"/>
  <c r="L139" i="15"/>
  <c r="L135" i="15"/>
  <c r="L132" i="15"/>
  <c r="L127" i="15"/>
  <c r="L126" i="15"/>
  <c r="L125" i="15"/>
  <c r="L124" i="15"/>
  <c r="L123" i="15"/>
  <c r="L117" i="15"/>
  <c r="L115" i="15"/>
  <c r="L111" i="15"/>
  <c r="L108" i="15"/>
  <c r="L107" i="15"/>
  <c r="L106" i="15"/>
  <c r="L105" i="15"/>
  <c r="L104" i="15"/>
  <c r="L103" i="15"/>
  <c r="L97" i="15"/>
  <c r="L95" i="15"/>
  <c r="L91" i="15"/>
  <c r="L88" i="15"/>
  <c r="L87" i="15"/>
  <c r="L86" i="15"/>
  <c r="L85" i="15"/>
  <c r="L84" i="15"/>
  <c r="L83" i="15"/>
  <c r="L77" i="15"/>
  <c r="L75" i="15"/>
  <c r="L71" i="15"/>
  <c r="L68" i="15"/>
  <c r="L63" i="15"/>
  <c r="L62" i="15"/>
  <c r="L61" i="15"/>
  <c r="L60" i="15"/>
  <c r="L59" i="15"/>
  <c r="L53" i="15"/>
  <c r="L51" i="15"/>
  <c r="L47" i="15"/>
  <c r="L44" i="15"/>
  <c r="L27" i="15"/>
  <c r="L24" i="15"/>
  <c r="L43" i="15"/>
  <c r="O43" i="15" s="1"/>
  <c r="L42" i="15"/>
  <c r="L41" i="15"/>
  <c r="L40" i="15"/>
  <c r="L39" i="15"/>
  <c r="L33" i="15"/>
  <c r="L31" i="15"/>
  <c r="L23" i="15"/>
  <c r="O23" i="15" s="1"/>
  <c r="L22" i="15"/>
  <c r="L21" i="15"/>
  <c r="L20" i="15"/>
  <c r="L19" i="15"/>
  <c r="L17" i="15"/>
  <c r="L16" i="15"/>
  <c r="L15" i="15"/>
  <c r="L13" i="15"/>
  <c r="L11" i="15"/>
  <c r="L7" i="15"/>
  <c r="L4" i="15"/>
  <c r="J43" i="10"/>
  <c r="H43" i="10" s="1"/>
  <c r="J42" i="10"/>
  <c r="H42" i="10" s="1"/>
  <c r="J41" i="10"/>
  <c r="H41" i="10" s="1"/>
  <c r="J40" i="10"/>
  <c r="H40" i="10" s="1"/>
  <c r="H52" i="10"/>
  <c r="H54" i="10"/>
  <c r="H53" i="10"/>
  <c r="H51" i="10"/>
  <c r="O4" i="15" l="1"/>
  <c r="O215" i="15"/>
  <c r="O17" i="15"/>
  <c r="O199" i="15"/>
  <c r="O24" i="15"/>
  <c r="O7" i="15"/>
  <c r="O68" i="15"/>
  <c r="O108" i="15"/>
  <c r="O152" i="15"/>
  <c r="O196" i="15"/>
  <c r="O219" i="15"/>
  <c r="O27" i="15"/>
  <c r="O235" i="15"/>
  <c r="O71" i="15"/>
  <c r="O111" i="15"/>
  <c r="O155" i="15"/>
  <c r="O236" i="15"/>
  <c r="O16" i="15"/>
  <c r="O87" i="15"/>
  <c r="O127" i="15"/>
  <c r="O171" i="15"/>
  <c r="O44" i="15"/>
  <c r="O88" i="15"/>
  <c r="O132" i="15"/>
  <c r="O172" i="15"/>
  <c r="O239" i="15"/>
  <c r="O255" i="15"/>
  <c r="O47" i="15"/>
  <c r="O91" i="15"/>
  <c r="O135" i="15"/>
  <c r="O175" i="15"/>
  <c r="O216" i="15"/>
  <c r="O63" i="15"/>
  <c r="O107" i="15"/>
  <c r="O151" i="15"/>
  <c r="O191" i="15"/>
  <c r="O15" i="15"/>
  <c r="H47" i="10"/>
  <c r="H48" i="10"/>
  <c r="H46" i="10"/>
  <c r="H45" i="10"/>
  <c r="H44" i="10"/>
  <c r="J28" i="10" l="1"/>
  <c r="H28" i="10" s="1"/>
  <c r="J27" i="10"/>
  <c r="H27" i="10" s="1"/>
  <c r="J26" i="10"/>
  <c r="H26" i="10" s="1"/>
  <c r="J25" i="10"/>
  <c r="H25" i="10" s="1"/>
  <c r="J24" i="10"/>
  <c r="H24" i="10" s="1"/>
  <c r="J23" i="10"/>
  <c r="H23" i="10" s="1"/>
  <c r="J21" i="10"/>
  <c r="H21" i="10" s="1"/>
  <c r="J22" i="10"/>
  <c r="H22" i="10" s="1"/>
  <c r="J20" i="10"/>
  <c r="H20" i="10" s="1"/>
  <c r="H33" i="10"/>
  <c r="H32" i="10"/>
  <c r="H19" i="10" l="1"/>
  <c r="H18" i="10"/>
  <c r="H17" i="10"/>
  <c r="H36" i="10" s="1"/>
  <c r="H11" i="10"/>
  <c r="J13" i="10"/>
  <c r="K13" i="10"/>
  <c r="M13" i="10"/>
  <c r="N13" i="10"/>
  <c r="H8" i="10"/>
  <c r="H5" i="10"/>
  <c r="J7" i="10"/>
  <c r="K7" i="10"/>
  <c r="H6" i="10"/>
  <c r="H7" i="10" l="1"/>
  <c r="H13" i="10"/>
  <c r="H16" i="10" s="1"/>
  <c r="H12" i="10"/>
  <c r="H37" i="10" s="1"/>
  <c r="I254" i="15" l="1"/>
  <c r="J254" i="15" s="1"/>
  <c r="N254" i="15" s="1"/>
  <c r="O254" i="15" s="1"/>
  <c r="H62" i="14" s="1"/>
  <c r="I253" i="15"/>
  <c r="J253" i="15" s="1"/>
  <c r="N253" i="15" s="1"/>
  <c r="O253" i="15" s="1"/>
  <c r="I252" i="15"/>
  <c r="J252" i="15" s="1"/>
  <c r="N252" i="15" s="1"/>
  <c r="O252" i="15" s="1"/>
  <c r="I251" i="15"/>
  <c r="J251" i="15" s="1"/>
  <c r="N251" i="15" s="1"/>
  <c r="O251" i="15" s="1"/>
  <c r="I250" i="15"/>
  <c r="I249" i="15"/>
  <c r="I248" i="15"/>
  <c r="I247" i="15"/>
  <c r="L247" i="15" s="1"/>
  <c r="I246" i="15"/>
  <c r="J246" i="15" s="1"/>
  <c r="N246" i="15" s="1"/>
  <c r="O246" i="15" s="1"/>
  <c r="H54" i="14" s="1"/>
  <c r="I245" i="15"/>
  <c r="J245" i="15" s="1"/>
  <c r="N245" i="15" s="1"/>
  <c r="O245" i="15" s="1"/>
  <c r="H56" i="14" s="1"/>
  <c r="I244" i="15"/>
  <c r="I243" i="15"/>
  <c r="J243" i="15" s="1"/>
  <c r="N243" i="15" s="1"/>
  <c r="O243" i="15" s="1"/>
  <c r="H58" i="14" s="1"/>
  <c r="I242" i="15"/>
  <c r="L242" i="15" s="1"/>
  <c r="I241" i="15"/>
  <c r="I240" i="15"/>
  <c r="L240" i="15" s="1"/>
  <c r="I238" i="15"/>
  <c r="L238" i="15" s="1"/>
  <c r="I237" i="15"/>
  <c r="L237" i="15" s="1"/>
  <c r="O237" i="15" s="1"/>
  <c r="I234" i="15"/>
  <c r="J234" i="15" s="1"/>
  <c r="N234" i="15" s="1"/>
  <c r="O234" i="15" s="1"/>
  <c r="F62" i="14" s="1"/>
  <c r="I233" i="15"/>
  <c r="J233" i="15" s="1"/>
  <c r="N233" i="15" s="1"/>
  <c r="O233" i="15" s="1"/>
  <c r="I232" i="15"/>
  <c r="J232" i="15" s="1"/>
  <c r="N232" i="15" s="1"/>
  <c r="O232" i="15" s="1"/>
  <c r="I231" i="15"/>
  <c r="J231" i="15" s="1"/>
  <c r="N231" i="15" s="1"/>
  <c r="O231" i="15" s="1"/>
  <c r="I230" i="15"/>
  <c r="I229" i="15"/>
  <c r="I228" i="15"/>
  <c r="I227" i="15"/>
  <c r="L227" i="15" s="1"/>
  <c r="I226" i="15"/>
  <c r="J226" i="15" s="1"/>
  <c r="N226" i="15" s="1"/>
  <c r="O226" i="15" s="1"/>
  <c r="F54" i="14" s="1"/>
  <c r="I225" i="15"/>
  <c r="J225" i="15" s="1"/>
  <c r="N225" i="15" s="1"/>
  <c r="O225" i="15" s="1"/>
  <c r="F56" i="14" s="1"/>
  <c r="I224" i="15"/>
  <c r="L224" i="15" s="1"/>
  <c r="I223" i="15"/>
  <c r="J223" i="15" s="1"/>
  <c r="N223" i="15" s="1"/>
  <c r="O223" i="15" s="1"/>
  <c r="F58" i="14" s="1"/>
  <c r="I222" i="15"/>
  <c r="L222" i="15" s="1"/>
  <c r="I221" i="15"/>
  <c r="L221" i="15" s="1"/>
  <c r="I220" i="15"/>
  <c r="L220" i="15" s="1"/>
  <c r="I218" i="15"/>
  <c r="L218" i="15" s="1"/>
  <c r="I217" i="15"/>
  <c r="L217" i="15" s="1"/>
  <c r="O217" i="15" s="1"/>
  <c r="J214" i="15"/>
  <c r="N214" i="15" s="1"/>
  <c r="O214" i="15" s="1"/>
  <c r="I213" i="15"/>
  <c r="J213" i="15" s="1"/>
  <c r="N213" i="15" s="1"/>
  <c r="O213" i="15" s="1"/>
  <c r="I212" i="15"/>
  <c r="J212" i="15" s="1"/>
  <c r="N212" i="15" s="1"/>
  <c r="O212" i="15" s="1"/>
  <c r="I211" i="15"/>
  <c r="J211" i="15" s="1"/>
  <c r="N211" i="15" s="1"/>
  <c r="O211" i="15" s="1"/>
  <c r="I210" i="15"/>
  <c r="I209" i="15"/>
  <c r="I208" i="15"/>
  <c r="I207" i="15"/>
  <c r="I206" i="15"/>
  <c r="J206" i="15" s="1"/>
  <c r="N206" i="15" s="1"/>
  <c r="O206" i="15" s="1"/>
  <c r="D54" i="14" s="1"/>
  <c r="I205" i="15"/>
  <c r="J205" i="15" s="1"/>
  <c r="N205" i="15" s="1"/>
  <c r="O205" i="15" s="1"/>
  <c r="D56" i="14" s="1"/>
  <c r="I204" i="15"/>
  <c r="L204" i="15" s="1"/>
  <c r="I203" i="15"/>
  <c r="J203" i="15" s="1"/>
  <c r="N203" i="15" s="1"/>
  <c r="O203" i="15" s="1"/>
  <c r="D58" i="14" s="1"/>
  <c r="I202" i="15"/>
  <c r="L202" i="15" s="1"/>
  <c r="I201" i="15"/>
  <c r="L201" i="15" s="1"/>
  <c r="I200" i="15"/>
  <c r="L200" i="15" s="1"/>
  <c r="I198" i="15"/>
  <c r="L198" i="15" s="1"/>
  <c r="I197" i="15"/>
  <c r="L197" i="15" s="1"/>
  <c r="O197" i="15" s="1"/>
  <c r="I190" i="15"/>
  <c r="J190" i="15" s="1"/>
  <c r="N190" i="15" s="1"/>
  <c r="O190" i="15" s="1"/>
  <c r="H46" i="14" s="1"/>
  <c r="I189" i="15"/>
  <c r="J189" i="15" s="1"/>
  <c r="N189" i="15" s="1"/>
  <c r="O189" i="15" s="1"/>
  <c r="J188" i="15"/>
  <c r="N188" i="15" s="1"/>
  <c r="O188" i="15" s="1"/>
  <c r="I188" i="15"/>
  <c r="I187" i="15"/>
  <c r="J187" i="15" s="1"/>
  <c r="N187" i="15" s="1"/>
  <c r="O187" i="15" s="1"/>
  <c r="I186" i="15"/>
  <c r="I185" i="15"/>
  <c r="I184" i="15"/>
  <c r="I183" i="15"/>
  <c r="L183" i="15" s="1"/>
  <c r="I182" i="15"/>
  <c r="J182" i="15" s="1"/>
  <c r="N182" i="15" s="1"/>
  <c r="O182" i="15" s="1"/>
  <c r="H38" i="14" s="1"/>
  <c r="I181" i="15"/>
  <c r="J181" i="15" s="1"/>
  <c r="N181" i="15" s="1"/>
  <c r="O181" i="15" s="1"/>
  <c r="H40" i="14" s="1"/>
  <c r="I180" i="15"/>
  <c r="I179" i="15"/>
  <c r="J179" i="15" s="1"/>
  <c r="N179" i="15" s="1"/>
  <c r="O179" i="15" s="1"/>
  <c r="H42" i="14" s="1"/>
  <c r="I178" i="15"/>
  <c r="L178" i="15" s="1"/>
  <c r="I177" i="15"/>
  <c r="I176" i="15"/>
  <c r="L176" i="15" s="1"/>
  <c r="I174" i="15"/>
  <c r="L174" i="15" s="1"/>
  <c r="I173" i="15"/>
  <c r="L173" i="15" s="1"/>
  <c r="O173" i="15" s="1"/>
  <c r="I170" i="15"/>
  <c r="J170" i="15" s="1"/>
  <c r="N170" i="15" s="1"/>
  <c r="O170" i="15" s="1"/>
  <c r="F46" i="14" s="1"/>
  <c r="I169" i="15"/>
  <c r="J169" i="15" s="1"/>
  <c r="N169" i="15" s="1"/>
  <c r="O169" i="15" s="1"/>
  <c r="I168" i="15"/>
  <c r="J168" i="15" s="1"/>
  <c r="N168" i="15" s="1"/>
  <c r="O168" i="15" s="1"/>
  <c r="I167" i="15"/>
  <c r="J167" i="15" s="1"/>
  <c r="N167" i="15" s="1"/>
  <c r="O167" i="15" s="1"/>
  <c r="I166" i="15"/>
  <c r="I165" i="15"/>
  <c r="I164" i="15"/>
  <c r="I163" i="15"/>
  <c r="I162" i="15"/>
  <c r="J162" i="15" s="1"/>
  <c r="N162" i="15" s="1"/>
  <c r="O162" i="15" s="1"/>
  <c r="F38" i="14" s="1"/>
  <c r="I161" i="15"/>
  <c r="J161" i="15" s="1"/>
  <c r="N161" i="15" s="1"/>
  <c r="O161" i="15" s="1"/>
  <c r="F40" i="14" s="1"/>
  <c r="I160" i="15"/>
  <c r="L160" i="15" s="1"/>
  <c r="I159" i="15"/>
  <c r="J159" i="15" s="1"/>
  <c r="N159" i="15" s="1"/>
  <c r="O159" i="15" s="1"/>
  <c r="F42" i="14" s="1"/>
  <c r="I158" i="15"/>
  <c r="L158" i="15" s="1"/>
  <c r="I157" i="15"/>
  <c r="I156" i="15"/>
  <c r="L156" i="15" s="1"/>
  <c r="I154" i="15"/>
  <c r="L154" i="15" s="1"/>
  <c r="I153" i="15"/>
  <c r="L153" i="15" s="1"/>
  <c r="O153" i="15" s="1"/>
  <c r="I150" i="15"/>
  <c r="J150" i="15" s="1"/>
  <c r="N150" i="15" s="1"/>
  <c r="O150" i="15" s="1"/>
  <c r="D46" i="14" s="1"/>
  <c r="I149" i="15"/>
  <c r="J149" i="15" s="1"/>
  <c r="N149" i="15" s="1"/>
  <c r="O149" i="15" s="1"/>
  <c r="I148" i="15"/>
  <c r="J148" i="15" s="1"/>
  <c r="N148" i="15" s="1"/>
  <c r="O148" i="15" s="1"/>
  <c r="I147" i="15"/>
  <c r="J147" i="15" s="1"/>
  <c r="N147" i="15" s="1"/>
  <c r="O147" i="15" s="1"/>
  <c r="I146" i="15"/>
  <c r="I145" i="15"/>
  <c r="I144" i="15"/>
  <c r="I143" i="15"/>
  <c r="L143" i="15" s="1"/>
  <c r="I142" i="15"/>
  <c r="J142" i="15" s="1"/>
  <c r="N142" i="15" s="1"/>
  <c r="O142" i="15" s="1"/>
  <c r="D38" i="14" s="1"/>
  <c r="I141" i="15"/>
  <c r="J141" i="15" s="1"/>
  <c r="N141" i="15" s="1"/>
  <c r="O141" i="15" s="1"/>
  <c r="D40" i="14" s="1"/>
  <c r="I140" i="15"/>
  <c r="L140" i="15" s="1"/>
  <c r="I139" i="15"/>
  <c r="J139" i="15" s="1"/>
  <c r="N139" i="15" s="1"/>
  <c r="O139" i="15" s="1"/>
  <c r="D42" i="14" s="1"/>
  <c r="I138" i="15"/>
  <c r="L138" i="15" s="1"/>
  <c r="I137" i="15"/>
  <c r="I136" i="15"/>
  <c r="I134" i="15"/>
  <c r="L134" i="15" s="1"/>
  <c r="I133" i="15"/>
  <c r="L133" i="15" s="1"/>
  <c r="O133" i="15" s="1"/>
  <c r="I126" i="15"/>
  <c r="J126" i="15" s="1"/>
  <c r="N126" i="15" s="1"/>
  <c r="O126" i="15" s="1"/>
  <c r="H30" i="14" s="1"/>
  <c r="I125" i="15"/>
  <c r="J125" i="15" s="1"/>
  <c r="N125" i="15" s="1"/>
  <c r="O125" i="15" s="1"/>
  <c r="I124" i="15"/>
  <c r="J124" i="15" s="1"/>
  <c r="N124" i="15" s="1"/>
  <c r="O124" i="15" s="1"/>
  <c r="I123" i="15"/>
  <c r="J123" i="15" s="1"/>
  <c r="N123" i="15" s="1"/>
  <c r="O123" i="15" s="1"/>
  <c r="I122" i="15"/>
  <c r="I121" i="15"/>
  <c r="I120" i="15"/>
  <c r="I119" i="15"/>
  <c r="L119" i="15" s="1"/>
  <c r="I118" i="15"/>
  <c r="I117" i="15"/>
  <c r="J117" i="15" s="1"/>
  <c r="N117" i="15" s="1"/>
  <c r="O117" i="15" s="1"/>
  <c r="H24" i="14" s="1"/>
  <c r="I116" i="15"/>
  <c r="L116" i="15" s="1"/>
  <c r="I115" i="15"/>
  <c r="J115" i="15" s="1"/>
  <c r="N115" i="15" s="1"/>
  <c r="O115" i="15" s="1"/>
  <c r="H26" i="14" s="1"/>
  <c r="I114" i="15"/>
  <c r="I113" i="15"/>
  <c r="L113" i="15" s="1"/>
  <c r="I112" i="15"/>
  <c r="I110" i="15"/>
  <c r="L110" i="15" s="1"/>
  <c r="I109" i="15"/>
  <c r="L109" i="15" s="1"/>
  <c r="O109" i="15" s="1"/>
  <c r="I106" i="15"/>
  <c r="J106" i="15" s="1"/>
  <c r="N106" i="15" s="1"/>
  <c r="O106" i="15" s="1"/>
  <c r="F30" i="14" s="1"/>
  <c r="I105" i="15"/>
  <c r="J105" i="15" s="1"/>
  <c r="N105" i="15" s="1"/>
  <c r="O105" i="15" s="1"/>
  <c r="I104" i="15"/>
  <c r="J104" i="15" s="1"/>
  <c r="N104" i="15" s="1"/>
  <c r="O104" i="15" s="1"/>
  <c r="I103" i="15"/>
  <c r="J103" i="15" s="1"/>
  <c r="N103" i="15" s="1"/>
  <c r="O103" i="15" s="1"/>
  <c r="I102" i="15"/>
  <c r="I101" i="15"/>
  <c r="I100" i="15"/>
  <c r="I99" i="15"/>
  <c r="L99" i="15" s="1"/>
  <c r="I98" i="15"/>
  <c r="I97" i="15"/>
  <c r="J97" i="15" s="1"/>
  <c r="N97" i="15" s="1"/>
  <c r="O97" i="15" s="1"/>
  <c r="F24" i="14" s="1"/>
  <c r="I96" i="15"/>
  <c r="L96" i="15" s="1"/>
  <c r="I95" i="15"/>
  <c r="J95" i="15" s="1"/>
  <c r="N95" i="15" s="1"/>
  <c r="O95" i="15" s="1"/>
  <c r="F26" i="14" s="1"/>
  <c r="I94" i="15"/>
  <c r="I93" i="15"/>
  <c r="L93" i="15" s="1"/>
  <c r="I92" i="15"/>
  <c r="I90" i="15"/>
  <c r="L90" i="15" s="1"/>
  <c r="I89" i="15"/>
  <c r="L89" i="15" s="1"/>
  <c r="O89" i="15" s="1"/>
  <c r="I86" i="15"/>
  <c r="J86" i="15" s="1"/>
  <c r="N86" i="15" s="1"/>
  <c r="O86" i="15" s="1"/>
  <c r="D30" i="14" s="1"/>
  <c r="I85" i="15"/>
  <c r="J85" i="15" s="1"/>
  <c r="N85" i="15" s="1"/>
  <c r="O85" i="15" s="1"/>
  <c r="I84" i="15"/>
  <c r="J84" i="15" s="1"/>
  <c r="N84" i="15" s="1"/>
  <c r="O84" i="15" s="1"/>
  <c r="I83" i="15"/>
  <c r="J83" i="15" s="1"/>
  <c r="N83" i="15" s="1"/>
  <c r="O83" i="15" s="1"/>
  <c r="I82" i="15"/>
  <c r="I81" i="15"/>
  <c r="I80" i="15"/>
  <c r="I79" i="15"/>
  <c r="I78" i="15"/>
  <c r="I77" i="15"/>
  <c r="J77" i="15" s="1"/>
  <c r="N77" i="15" s="1"/>
  <c r="O77" i="15" s="1"/>
  <c r="D24" i="14" s="1"/>
  <c r="I76" i="15"/>
  <c r="I75" i="15"/>
  <c r="J75" i="15" s="1"/>
  <c r="N75" i="15" s="1"/>
  <c r="O75" i="15" s="1"/>
  <c r="D26" i="14" s="1"/>
  <c r="I74" i="15"/>
  <c r="I73" i="15"/>
  <c r="I72" i="15"/>
  <c r="L72" i="15" s="1"/>
  <c r="I70" i="15"/>
  <c r="L70" i="15" s="1"/>
  <c r="I69" i="15"/>
  <c r="L69" i="15" s="1"/>
  <c r="O69" i="15" s="1"/>
  <c r="I62" i="15"/>
  <c r="J62" i="15" s="1"/>
  <c r="N62" i="15" s="1"/>
  <c r="O62" i="15" s="1"/>
  <c r="H14" i="14" s="1"/>
  <c r="I61" i="15"/>
  <c r="J61" i="15" s="1"/>
  <c r="N61" i="15" s="1"/>
  <c r="O61" i="15" s="1"/>
  <c r="I60" i="15"/>
  <c r="J60" i="15" s="1"/>
  <c r="N60" i="15" s="1"/>
  <c r="O60" i="15" s="1"/>
  <c r="I59" i="15"/>
  <c r="J59" i="15" s="1"/>
  <c r="N59" i="15" s="1"/>
  <c r="O59" i="15" s="1"/>
  <c r="I58" i="15"/>
  <c r="I57" i="15"/>
  <c r="I56" i="15"/>
  <c r="I55" i="15"/>
  <c r="I54" i="15"/>
  <c r="I53" i="15"/>
  <c r="J53" i="15" s="1"/>
  <c r="N53" i="15" s="1"/>
  <c r="O53" i="15" s="1"/>
  <c r="H8" i="14" s="1"/>
  <c r="I52" i="15"/>
  <c r="L52" i="15" s="1"/>
  <c r="I51" i="15"/>
  <c r="J51" i="15" s="1"/>
  <c r="N51" i="15" s="1"/>
  <c r="O51" i="15" s="1"/>
  <c r="H10" i="14" s="1"/>
  <c r="I50" i="15"/>
  <c r="L50" i="15" s="1"/>
  <c r="I49" i="15"/>
  <c r="I48" i="15"/>
  <c r="I46" i="15"/>
  <c r="L46" i="15" s="1"/>
  <c r="I45" i="15"/>
  <c r="L45" i="15" s="1"/>
  <c r="O45" i="15" s="1"/>
  <c r="I42" i="15"/>
  <c r="J42" i="15" s="1"/>
  <c r="N42" i="15" s="1"/>
  <c r="O42" i="15" s="1"/>
  <c r="F14" i="14" s="1"/>
  <c r="I41" i="15"/>
  <c r="J41" i="15" s="1"/>
  <c r="N41" i="15" s="1"/>
  <c r="O41" i="15" s="1"/>
  <c r="I40" i="15"/>
  <c r="J40" i="15" s="1"/>
  <c r="N40" i="15" s="1"/>
  <c r="O40" i="15" s="1"/>
  <c r="I39" i="15"/>
  <c r="J39" i="15" s="1"/>
  <c r="N39" i="15" s="1"/>
  <c r="O39" i="15" s="1"/>
  <c r="I38" i="15"/>
  <c r="I37" i="15"/>
  <c r="I36" i="15"/>
  <c r="I35" i="15"/>
  <c r="L35" i="15" s="1"/>
  <c r="I34" i="15"/>
  <c r="I33" i="15"/>
  <c r="J33" i="15" s="1"/>
  <c r="N33" i="15" s="1"/>
  <c r="O33" i="15" s="1"/>
  <c r="F8" i="14" s="1"/>
  <c r="I32" i="15"/>
  <c r="L32" i="15" s="1"/>
  <c r="I31" i="15"/>
  <c r="J31" i="15" s="1"/>
  <c r="N31" i="15" s="1"/>
  <c r="O31" i="15" s="1"/>
  <c r="F10" i="14" s="1"/>
  <c r="I30" i="15"/>
  <c r="I29" i="15"/>
  <c r="I28" i="15"/>
  <c r="L28" i="15" s="1"/>
  <c r="I26" i="15"/>
  <c r="L26" i="15" s="1"/>
  <c r="I25" i="15"/>
  <c r="L25" i="15" s="1"/>
  <c r="O25" i="15" s="1"/>
  <c r="I22" i="15"/>
  <c r="J22" i="15" s="1"/>
  <c r="N22" i="15" s="1"/>
  <c r="O22" i="15" s="1"/>
  <c r="D14" i="14" s="1"/>
  <c r="I21" i="15"/>
  <c r="J21" i="15" s="1"/>
  <c r="N21" i="15" s="1"/>
  <c r="O21" i="15" s="1"/>
  <c r="I20" i="15"/>
  <c r="J20" i="15" s="1"/>
  <c r="N20" i="15" s="1"/>
  <c r="O20" i="15" s="1"/>
  <c r="I19" i="15"/>
  <c r="N19" i="15" s="1"/>
  <c r="O19" i="15" s="1"/>
  <c r="I18" i="15"/>
  <c r="I14" i="15"/>
  <c r="I13" i="15"/>
  <c r="J13" i="15" s="1"/>
  <c r="N13" i="15" s="1"/>
  <c r="O13" i="15" s="1"/>
  <c r="D8" i="14" s="1"/>
  <c r="I12" i="15"/>
  <c r="I11" i="15"/>
  <c r="J11" i="15" s="1"/>
  <c r="N11" i="15" s="1"/>
  <c r="O11" i="15" s="1"/>
  <c r="D10" i="14" s="1"/>
  <c r="I10" i="15"/>
  <c r="I9" i="15"/>
  <c r="L9" i="15" s="1"/>
  <c r="I8" i="15"/>
  <c r="I6" i="15"/>
  <c r="I5" i="15"/>
  <c r="L5" i="15" s="1"/>
  <c r="O5" i="15" s="1"/>
  <c r="I250" i="8"/>
  <c r="J250" i="8" s="1"/>
  <c r="I248" i="8"/>
  <c r="J248" i="8" s="1"/>
  <c r="I230" i="8"/>
  <c r="J230" i="8" s="1"/>
  <c r="I228" i="8"/>
  <c r="J228" i="8" s="1"/>
  <c r="I210" i="8"/>
  <c r="J210" i="8" s="1"/>
  <c r="I208" i="8"/>
  <c r="J208" i="8" s="1"/>
  <c r="I186" i="8"/>
  <c r="J186" i="8" s="1"/>
  <c r="I184" i="8"/>
  <c r="J184" i="8" s="1"/>
  <c r="I166" i="8"/>
  <c r="J166" i="8" s="1"/>
  <c r="I164" i="8"/>
  <c r="J164" i="8" s="1"/>
  <c r="I146" i="8"/>
  <c r="J146" i="8" s="1"/>
  <c r="I144" i="8"/>
  <c r="J144" i="8" s="1"/>
  <c r="I122" i="8"/>
  <c r="J122" i="8" s="1"/>
  <c r="I120" i="8"/>
  <c r="J120" i="8" s="1"/>
  <c r="I102" i="8"/>
  <c r="J102" i="8" s="1"/>
  <c r="I100" i="8"/>
  <c r="J100" i="8" s="1"/>
  <c r="I82" i="8"/>
  <c r="J82" i="8" s="1"/>
  <c r="I80" i="8"/>
  <c r="J80" i="8" s="1"/>
  <c r="I58" i="8"/>
  <c r="J58" i="8" s="1"/>
  <c r="I56" i="8"/>
  <c r="J56" i="8" s="1"/>
  <c r="I55" i="8"/>
  <c r="L55" i="8" s="1"/>
  <c r="I38" i="8"/>
  <c r="J38" i="8" s="1"/>
  <c r="I36" i="8"/>
  <c r="J36" i="8" s="1"/>
  <c r="I17" i="8"/>
  <c r="J17" i="8" s="1"/>
  <c r="I19" i="8"/>
  <c r="I18" i="8"/>
  <c r="J18" i="8" s="1"/>
  <c r="I16" i="8"/>
  <c r="J16" i="8" s="1"/>
  <c r="L16" i="8"/>
  <c r="L253" i="8"/>
  <c r="L252" i="8"/>
  <c r="L251" i="8"/>
  <c r="L233" i="8"/>
  <c r="L232" i="8"/>
  <c r="L231" i="8"/>
  <c r="L213" i="8"/>
  <c r="L212" i="8"/>
  <c r="L211" i="8"/>
  <c r="L189" i="8"/>
  <c r="L188" i="8"/>
  <c r="L187" i="8"/>
  <c r="L169" i="8"/>
  <c r="L168" i="8"/>
  <c r="L167" i="8"/>
  <c r="L149" i="8"/>
  <c r="L148" i="8"/>
  <c r="L147" i="8"/>
  <c r="L125" i="8"/>
  <c r="L124" i="8"/>
  <c r="L123" i="8"/>
  <c r="L105" i="8"/>
  <c r="L104" i="8"/>
  <c r="L103" i="8"/>
  <c r="L85" i="8"/>
  <c r="L84" i="8"/>
  <c r="L83" i="8"/>
  <c r="L59" i="8"/>
  <c r="L61" i="8"/>
  <c r="L60" i="8"/>
  <c r="L41" i="8"/>
  <c r="L40" i="8"/>
  <c r="L39" i="8"/>
  <c r="L21" i="8"/>
  <c r="L20" i="8"/>
  <c r="L19" i="8"/>
  <c r="L239" i="8"/>
  <c r="I238" i="8"/>
  <c r="J238" i="8" s="1"/>
  <c r="I237" i="8"/>
  <c r="L237" i="8" s="1"/>
  <c r="I218" i="8"/>
  <c r="L218" i="8" s="1"/>
  <c r="I217" i="8"/>
  <c r="L217" i="8" s="1"/>
  <c r="I198" i="8"/>
  <c r="J198" i="8" s="1"/>
  <c r="I197" i="8"/>
  <c r="L197" i="8" s="1"/>
  <c r="I174" i="8"/>
  <c r="L174" i="8" s="1"/>
  <c r="I173" i="8"/>
  <c r="I154" i="8"/>
  <c r="L154" i="8" s="1"/>
  <c r="I153" i="8"/>
  <c r="L153" i="8" s="1"/>
  <c r="I134" i="8"/>
  <c r="L134" i="8" s="1"/>
  <c r="I133" i="8"/>
  <c r="I110" i="8"/>
  <c r="L110" i="8" s="1"/>
  <c r="I109" i="8"/>
  <c r="L109" i="8" s="1"/>
  <c r="I92" i="8"/>
  <c r="L92" i="8" s="1"/>
  <c r="I90" i="8"/>
  <c r="L90" i="8" s="1"/>
  <c r="I89" i="8"/>
  <c r="L89" i="8" s="1"/>
  <c r="L71" i="8"/>
  <c r="I72" i="8"/>
  <c r="L72" i="8" s="1"/>
  <c r="I70" i="8"/>
  <c r="L70" i="8" s="1"/>
  <c r="I69" i="8"/>
  <c r="L69" i="8" s="1"/>
  <c r="I46" i="8"/>
  <c r="L46" i="8" s="1"/>
  <c r="I45" i="8"/>
  <c r="I25" i="8"/>
  <c r="I26" i="8"/>
  <c r="J26" i="8" s="1"/>
  <c r="I5" i="8"/>
  <c r="L5" i="8" s="1"/>
  <c r="L27" i="8"/>
  <c r="L25" i="8"/>
  <c r="L24" i="8"/>
  <c r="L88" i="8"/>
  <c r="L7" i="8"/>
  <c r="L4" i="8"/>
  <c r="L255" i="8"/>
  <c r="L236" i="8"/>
  <c r="L235" i="8"/>
  <c r="L219" i="8"/>
  <c r="L216" i="8"/>
  <c r="L215" i="8"/>
  <c r="L199" i="8"/>
  <c r="L196" i="8"/>
  <c r="L191" i="8"/>
  <c r="L175" i="8"/>
  <c r="L173" i="8"/>
  <c r="L172" i="8"/>
  <c r="L171" i="8"/>
  <c r="L155" i="8"/>
  <c r="L152" i="8"/>
  <c r="L151" i="8"/>
  <c r="L135" i="8"/>
  <c r="L133" i="8"/>
  <c r="L132" i="8"/>
  <c r="L127" i="8"/>
  <c r="L111" i="8"/>
  <c r="L108" i="8"/>
  <c r="L107" i="8"/>
  <c r="L91" i="8"/>
  <c r="L87" i="8"/>
  <c r="L68" i="8"/>
  <c r="L63" i="8"/>
  <c r="L47" i="8"/>
  <c r="L45" i="8"/>
  <c r="L44" i="8"/>
  <c r="L43" i="8"/>
  <c r="L250" i="8"/>
  <c r="L248" i="8"/>
  <c r="L246" i="8"/>
  <c r="H54" i="12" s="1"/>
  <c r="L245" i="8"/>
  <c r="H56" i="12" s="1"/>
  <c r="L243" i="8"/>
  <c r="H58" i="12" s="1"/>
  <c r="L230" i="8"/>
  <c r="L226" i="8"/>
  <c r="L225" i="8"/>
  <c r="F56" i="12" s="1"/>
  <c r="L223" i="8"/>
  <c r="L210" i="8"/>
  <c r="L206" i="8"/>
  <c r="D54" i="12" s="1"/>
  <c r="L205" i="8"/>
  <c r="D56" i="12" s="1"/>
  <c r="L203" i="8"/>
  <c r="D58" i="12" s="1"/>
  <c r="L186" i="8"/>
  <c r="L184" i="8"/>
  <c r="L182" i="8"/>
  <c r="H38" i="12" s="1"/>
  <c r="L181" i="8"/>
  <c r="H40" i="12" s="1"/>
  <c r="L179" i="8"/>
  <c r="H42" i="12" s="1"/>
  <c r="L164" i="8"/>
  <c r="L162" i="8"/>
  <c r="F38" i="12" s="1"/>
  <c r="L161" i="8"/>
  <c r="F40" i="12" s="1"/>
  <c r="L159" i="8"/>
  <c r="L146" i="8"/>
  <c r="L144" i="8"/>
  <c r="L142" i="8"/>
  <c r="D38" i="12" s="1"/>
  <c r="L141" i="8"/>
  <c r="D40" i="12" s="1"/>
  <c r="L139" i="8"/>
  <c r="D42" i="12" s="1"/>
  <c r="L122" i="8"/>
  <c r="L120" i="8"/>
  <c r="L117" i="8"/>
  <c r="H24" i="12" s="1"/>
  <c r="L115" i="8"/>
  <c r="H26" i="12" s="1"/>
  <c r="L102" i="8"/>
  <c r="L97" i="8"/>
  <c r="F24" i="12" s="1"/>
  <c r="L95" i="8"/>
  <c r="F26" i="12" s="1"/>
  <c r="L82" i="8"/>
  <c r="L77" i="8"/>
  <c r="D24" i="12" s="1"/>
  <c r="L75" i="8"/>
  <c r="D26" i="12" s="1"/>
  <c r="L58" i="8"/>
  <c r="L56" i="8"/>
  <c r="L53" i="8"/>
  <c r="H8" i="12" s="1"/>
  <c r="L36" i="8"/>
  <c r="L33" i="8"/>
  <c r="F8" i="12" s="1"/>
  <c r="L31" i="8"/>
  <c r="I28" i="8"/>
  <c r="L28" i="8" s="1"/>
  <c r="I21" i="8"/>
  <c r="J21" i="8" s="1"/>
  <c r="I20" i="8"/>
  <c r="J20" i="8" s="1"/>
  <c r="L22" i="8"/>
  <c r="I6" i="8"/>
  <c r="J6" i="8" s="1"/>
  <c r="I254" i="8"/>
  <c r="J254" i="8" s="1"/>
  <c r="I252" i="8"/>
  <c r="J252" i="8" s="1"/>
  <c r="I253" i="8"/>
  <c r="J253" i="8" s="1"/>
  <c r="I251" i="8"/>
  <c r="J251" i="8" s="1"/>
  <c r="I234" i="8"/>
  <c r="J234" i="8" s="1"/>
  <c r="I232" i="8"/>
  <c r="J232" i="8" s="1"/>
  <c r="I233" i="8"/>
  <c r="J233" i="8" s="1"/>
  <c r="I231" i="8"/>
  <c r="J231" i="8" s="1"/>
  <c r="L214" i="8"/>
  <c r="I212" i="8"/>
  <c r="J212" i="8" s="1"/>
  <c r="I213" i="8"/>
  <c r="J213" i="8" s="1"/>
  <c r="J214" i="8"/>
  <c r="I211" i="8"/>
  <c r="J211" i="8" s="1"/>
  <c r="I190" i="8"/>
  <c r="J190" i="8" s="1"/>
  <c r="I188" i="8"/>
  <c r="I189" i="8"/>
  <c r="J189" i="8" s="1"/>
  <c r="I187" i="8"/>
  <c r="J187" i="8" s="1"/>
  <c r="L170" i="8"/>
  <c r="I170" i="8"/>
  <c r="J170" i="8" s="1"/>
  <c r="I168" i="8"/>
  <c r="J168" i="8" s="1"/>
  <c r="I169" i="8"/>
  <c r="J169" i="8" s="1"/>
  <c r="I167" i="8"/>
  <c r="J167" i="8" s="1"/>
  <c r="I150" i="8"/>
  <c r="J150" i="8" s="1"/>
  <c r="I148" i="8"/>
  <c r="J148" i="8" s="1"/>
  <c r="I149" i="8"/>
  <c r="J149" i="8" s="1"/>
  <c r="I147" i="8"/>
  <c r="J147" i="8" s="1"/>
  <c r="I126" i="8"/>
  <c r="J126" i="8" s="1"/>
  <c r="I124" i="8"/>
  <c r="J124" i="8" s="1"/>
  <c r="I125" i="8"/>
  <c r="J125" i="8" s="1"/>
  <c r="I123" i="8"/>
  <c r="J123" i="8" s="1"/>
  <c r="L106" i="8"/>
  <c r="I106" i="8"/>
  <c r="J106" i="8" s="1"/>
  <c r="I104" i="8"/>
  <c r="J104" i="8" s="1"/>
  <c r="I105" i="8"/>
  <c r="J105" i="8" s="1"/>
  <c r="I103" i="8"/>
  <c r="J103" i="8" s="1"/>
  <c r="L86" i="8"/>
  <c r="I86" i="8"/>
  <c r="J86" i="8" s="1"/>
  <c r="I84" i="8"/>
  <c r="J84" i="8" s="1"/>
  <c r="I85" i="8"/>
  <c r="J85" i="8" s="1"/>
  <c r="I83" i="8"/>
  <c r="J83" i="8" s="1"/>
  <c r="L62" i="8"/>
  <c r="I62" i="8"/>
  <c r="J62" i="8" s="1"/>
  <c r="I60" i="8"/>
  <c r="J60" i="8" s="1"/>
  <c r="I61" i="8"/>
  <c r="J61" i="8" s="1"/>
  <c r="I59" i="8"/>
  <c r="J59" i="8" s="1"/>
  <c r="L23" i="8"/>
  <c r="I42" i="8"/>
  <c r="J42" i="8" s="1"/>
  <c r="I40" i="8"/>
  <c r="J40" i="8" s="1"/>
  <c r="I41" i="8"/>
  <c r="J41" i="8" s="1"/>
  <c r="I39" i="8"/>
  <c r="J39" i="8" s="1"/>
  <c r="L254" i="8"/>
  <c r="L234" i="8"/>
  <c r="L190" i="8"/>
  <c r="J188" i="8"/>
  <c r="L150" i="8"/>
  <c r="L126" i="8"/>
  <c r="L42" i="8"/>
  <c r="L11" i="8"/>
  <c r="D10" i="12" s="1"/>
  <c r="L13" i="8"/>
  <c r="D8" i="12" s="1"/>
  <c r="J19" i="8"/>
  <c r="I22" i="8"/>
  <c r="J22" i="8" s="1"/>
  <c r="C22" i="1"/>
  <c r="I11" i="8"/>
  <c r="F46" i="12" l="1"/>
  <c r="F14" i="12"/>
  <c r="J118" i="15"/>
  <c r="N118" i="15" s="1"/>
  <c r="L118" i="15"/>
  <c r="J78" i="15"/>
  <c r="N78" i="15" s="1"/>
  <c r="L78" i="15"/>
  <c r="J98" i="15"/>
  <c r="N98" i="15" s="1"/>
  <c r="L98" i="15"/>
  <c r="J54" i="15"/>
  <c r="N54" i="15" s="1"/>
  <c r="L54" i="15"/>
  <c r="L10" i="15"/>
  <c r="J10" i="15"/>
  <c r="J34" i="15"/>
  <c r="N34" i="15" s="1"/>
  <c r="L34" i="15"/>
  <c r="J14" i="15"/>
  <c r="N14" i="15" s="1"/>
  <c r="L14" i="15"/>
  <c r="F30" i="12"/>
  <c r="J46" i="8"/>
  <c r="L6" i="8"/>
  <c r="H14" i="12"/>
  <c r="D14" i="12"/>
  <c r="D13" i="12"/>
  <c r="F62" i="12"/>
  <c r="H13" i="12"/>
  <c r="D45" i="12"/>
  <c r="H46" i="12"/>
  <c r="D5" i="14"/>
  <c r="J40" i="14"/>
  <c r="J54" i="14"/>
  <c r="H45" i="12"/>
  <c r="D29" i="12"/>
  <c r="F61" i="12"/>
  <c r="J26" i="12"/>
  <c r="F45" i="12"/>
  <c r="F29" i="12"/>
  <c r="J24" i="14"/>
  <c r="J42" i="14"/>
  <c r="H29" i="12"/>
  <c r="J248" i="15"/>
  <c r="N248" i="15" s="1"/>
  <c r="L248" i="15"/>
  <c r="J241" i="15"/>
  <c r="N241" i="15" s="1"/>
  <c r="L241" i="15"/>
  <c r="J249" i="15"/>
  <c r="N249" i="15" s="1"/>
  <c r="L249" i="15"/>
  <c r="L250" i="15"/>
  <c r="J250" i="15"/>
  <c r="N250" i="15" s="1"/>
  <c r="J56" i="14"/>
  <c r="J244" i="15"/>
  <c r="N244" i="15" s="1"/>
  <c r="L244" i="15"/>
  <c r="L228" i="15"/>
  <c r="J228" i="15"/>
  <c r="N228" i="15" s="1"/>
  <c r="J229" i="15"/>
  <c r="N229" i="15" s="1"/>
  <c r="L229" i="15"/>
  <c r="J58" i="14"/>
  <c r="J230" i="15"/>
  <c r="N230" i="15" s="1"/>
  <c r="L230" i="15"/>
  <c r="J209" i="15"/>
  <c r="N209" i="15" s="1"/>
  <c r="L209" i="15"/>
  <c r="J210" i="15"/>
  <c r="N210" i="15" s="1"/>
  <c r="L210" i="15"/>
  <c r="D62" i="14"/>
  <c r="J62" i="14" s="1"/>
  <c r="J207" i="15"/>
  <c r="N207" i="15" s="1"/>
  <c r="L207" i="15"/>
  <c r="O207" i="15" s="1"/>
  <c r="L208" i="15"/>
  <c r="J208" i="15"/>
  <c r="N208" i="15" s="1"/>
  <c r="J38" i="14"/>
  <c r="J46" i="14"/>
  <c r="J180" i="15"/>
  <c r="N180" i="15" s="1"/>
  <c r="L180" i="15"/>
  <c r="J177" i="15"/>
  <c r="N177" i="15" s="1"/>
  <c r="L177" i="15"/>
  <c r="L184" i="15"/>
  <c r="J184" i="15"/>
  <c r="N184" i="15" s="1"/>
  <c r="L185" i="15"/>
  <c r="J185" i="15"/>
  <c r="N185" i="15" s="1"/>
  <c r="J186" i="15"/>
  <c r="N186" i="15" s="1"/>
  <c r="L186" i="15"/>
  <c r="J163" i="15"/>
  <c r="N163" i="15" s="1"/>
  <c r="L163" i="15"/>
  <c r="J164" i="15"/>
  <c r="N164" i="15" s="1"/>
  <c r="L164" i="15"/>
  <c r="J157" i="15"/>
  <c r="N157" i="15" s="1"/>
  <c r="L157" i="15"/>
  <c r="J165" i="15"/>
  <c r="N165" i="15" s="1"/>
  <c r="L165" i="15"/>
  <c r="J166" i="15"/>
  <c r="N166" i="15" s="1"/>
  <c r="L166" i="15"/>
  <c r="J136" i="15"/>
  <c r="N136" i="15" s="1"/>
  <c r="L136" i="15"/>
  <c r="J144" i="15"/>
  <c r="N144" i="15" s="1"/>
  <c r="L144" i="15"/>
  <c r="J137" i="15"/>
  <c r="N137" i="15" s="1"/>
  <c r="L137" i="15"/>
  <c r="J145" i="15"/>
  <c r="N145" i="15" s="1"/>
  <c r="L145" i="15"/>
  <c r="J146" i="15"/>
  <c r="N146" i="15" s="1"/>
  <c r="L146" i="15"/>
  <c r="J112" i="15"/>
  <c r="N112" i="15" s="1"/>
  <c r="L112" i="15"/>
  <c r="J120" i="15"/>
  <c r="N120" i="15" s="1"/>
  <c r="L120" i="15"/>
  <c r="L121" i="15"/>
  <c r="J121" i="15"/>
  <c r="N121" i="15" s="1"/>
  <c r="J114" i="15"/>
  <c r="N114" i="15" s="1"/>
  <c r="L114" i="15"/>
  <c r="L122" i="15"/>
  <c r="J122" i="15"/>
  <c r="N122" i="15" s="1"/>
  <c r="J100" i="15"/>
  <c r="N100" i="15" s="1"/>
  <c r="L100" i="15"/>
  <c r="J101" i="15"/>
  <c r="N101" i="15" s="1"/>
  <c r="L101" i="15"/>
  <c r="J92" i="15"/>
  <c r="N92" i="15" s="1"/>
  <c r="L92" i="15"/>
  <c r="J26" i="14"/>
  <c r="J94" i="15"/>
  <c r="N94" i="15" s="1"/>
  <c r="L94" i="15"/>
  <c r="J102" i="15"/>
  <c r="N102" i="15" s="1"/>
  <c r="L102" i="15"/>
  <c r="J30" i="14"/>
  <c r="L80" i="15"/>
  <c r="J80" i="15"/>
  <c r="N80" i="15" s="1"/>
  <c r="J73" i="15"/>
  <c r="N73" i="15" s="1"/>
  <c r="L73" i="15"/>
  <c r="L81" i="15"/>
  <c r="J81" i="15"/>
  <c r="N81" i="15" s="1"/>
  <c r="J74" i="15"/>
  <c r="N74" i="15" s="1"/>
  <c r="L74" i="15"/>
  <c r="J82" i="15"/>
  <c r="N82" i="15" s="1"/>
  <c r="L82" i="15"/>
  <c r="J76" i="15"/>
  <c r="N76" i="15" s="1"/>
  <c r="L76" i="15"/>
  <c r="J79" i="15"/>
  <c r="N79" i="15" s="1"/>
  <c r="L79" i="15"/>
  <c r="J55" i="15"/>
  <c r="N55" i="15" s="1"/>
  <c r="L55" i="15"/>
  <c r="J48" i="15"/>
  <c r="N48" i="15" s="1"/>
  <c r="L48" i="15"/>
  <c r="L56" i="15"/>
  <c r="J56" i="15"/>
  <c r="N56" i="15" s="1"/>
  <c r="J49" i="15"/>
  <c r="N49" i="15" s="1"/>
  <c r="L49" i="15"/>
  <c r="J57" i="15"/>
  <c r="N57" i="15" s="1"/>
  <c r="L57" i="15"/>
  <c r="J58" i="15"/>
  <c r="N58" i="15" s="1"/>
  <c r="L58" i="15"/>
  <c r="J30" i="15"/>
  <c r="N30" i="15" s="1"/>
  <c r="L30" i="15"/>
  <c r="L38" i="15"/>
  <c r="J38" i="15"/>
  <c r="N38" i="15" s="1"/>
  <c r="J36" i="15"/>
  <c r="N36" i="15" s="1"/>
  <c r="L36" i="15"/>
  <c r="J29" i="15"/>
  <c r="N29" i="15" s="1"/>
  <c r="L29" i="15"/>
  <c r="J37" i="15"/>
  <c r="N37" i="15" s="1"/>
  <c r="L37" i="15"/>
  <c r="J8" i="15"/>
  <c r="N8" i="15" s="1"/>
  <c r="L8" i="15"/>
  <c r="J12" i="15"/>
  <c r="N12" i="15" s="1"/>
  <c r="L12" i="15"/>
  <c r="J6" i="15"/>
  <c r="N6" i="15" s="1"/>
  <c r="L6" i="15"/>
  <c r="L18" i="15"/>
  <c r="J18" i="15"/>
  <c r="N18" i="15" s="1"/>
  <c r="J56" i="12"/>
  <c r="L228" i="8"/>
  <c r="L208" i="8"/>
  <c r="J40" i="12"/>
  <c r="L166" i="8"/>
  <c r="J134" i="8"/>
  <c r="J24" i="12"/>
  <c r="L100" i="8"/>
  <c r="L80" i="8"/>
  <c r="L38" i="8"/>
  <c r="L26" i="8"/>
  <c r="F13" i="12" s="1"/>
  <c r="J8" i="12"/>
  <c r="D62" i="12"/>
  <c r="J134" i="15"/>
  <c r="N134" i="15" s="1"/>
  <c r="O134" i="15" s="1"/>
  <c r="J113" i="15"/>
  <c r="N113" i="15" s="1"/>
  <c r="O113" i="15" s="1"/>
  <c r="H28" i="14" s="1"/>
  <c r="J140" i="15"/>
  <c r="N140" i="15" s="1"/>
  <c r="O140" i="15" s="1"/>
  <c r="D39" i="14" s="1"/>
  <c r="J32" i="15"/>
  <c r="N32" i="15" s="1"/>
  <c r="O32" i="15" s="1"/>
  <c r="F7" i="14" s="1"/>
  <c r="J50" i="15"/>
  <c r="N50" i="15" s="1"/>
  <c r="O50" i="15" s="1"/>
  <c r="H9" i="14" s="1"/>
  <c r="J247" i="15"/>
  <c r="N247" i="15" s="1"/>
  <c r="O247" i="15" s="1"/>
  <c r="J52" i="15"/>
  <c r="N52" i="15" s="1"/>
  <c r="O52" i="15" s="1"/>
  <c r="H7" i="14" s="1"/>
  <c r="J90" i="15"/>
  <c r="N90" i="15" s="1"/>
  <c r="O90" i="15" s="1"/>
  <c r="F29" i="14" s="1"/>
  <c r="J158" i="15"/>
  <c r="N158" i="15" s="1"/>
  <c r="O158" i="15" s="1"/>
  <c r="F41" i="14" s="1"/>
  <c r="J202" i="15"/>
  <c r="N202" i="15" s="1"/>
  <c r="O202" i="15" s="1"/>
  <c r="D57" i="14" s="1"/>
  <c r="J221" i="15"/>
  <c r="N221" i="15" s="1"/>
  <c r="O221" i="15" s="1"/>
  <c r="F60" i="14" s="1"/>
  <c r="J46" i="15"/>
  <c r="N46" i="15" s="1"/>
  <c r="O46" i="15" s="1"/>
  <c r="J96" i="15"/>
  <c r="N96" i="15" s="1"/>
  <c r="O96" i="15" s="1"/>
  <c r="F23" i="14" s="1"/>
  <c r="J174" i="15"/>
  <c r="N174" i="15" s="1"/>
  <c r="O174" i="15" s="1"/>
  <c r="H45" i="14" s="1"/>
  <c r="J178" i="15"/>
  <c r="N178" i="15" s="1"/>
  <c r="O178" i="15" s="1"/>
  <c r="H41" i="14" s="1"/>
  <c r="J176" i="15"/>
  <c r="N176" i="15" s="1"/>
  <c r="O176" i="15" s="1"/>
  <c r="H43" i="14" s="1"/>
  <c r="J200" i="15"/>
  <c r="N200" i="15" s="1"/>
  <c r="O200" i="15" s="1"/>
  <c r="D59" i="14" s="1"/>
  <c r="J26" i="15"/>
  <c r="N26" i="15" s="1"/>
  <c r="O26" i="15" s="1"/>
  <c r="F13" i="14" s="1"/>
  <c r="J238" i="15"/>
  <c r="N238" i="15" s="1"/>
  <c r="O238" i="15" s="1"/>
  <c r="H61" i="14" s="1"/>
  <c r="J10" i="14"/>
  <c r="D30" i="12"/>
  <c r="F54" i="12"/>
  <c r="J54" i="12" s="1"/>
  <c r="J8" i="14"/>
  <c r="F42" i="12"/>
  <c r="J42" i="12" s="1"/>
  <c r="H30" i="12"/>
  <c r="H62" i="12"/>
  <c r="F10" i="12"/>
  <c r="D46" i="12"/>
  <c r="F58" i="12"/>
  <c r="J58" i="12" s="1"/>
  <c r="J14" i="14"/>
  <c r="J9" i="15"/>
  <c r="N9" i="15" s="1"/>
  <c r="O9" i="15" s="1"/>
  <c r="D12" i="14" s="1"/>
  <c r="J35" i="15"/>
  <c r="N35" i="15" s="1"/>
  <c r="O35" i="15" s="1"/>
  <c r="J72" i="15"/>
  <c r="N72" i="15" s="1"/>
  <c r="O72" i="15" s="1"/>
  <c r="D27" i="14" s="1"/>
  <c r="J110" i="15"/>
  <c r="N110" i="15" s="1"/>
  <c r="O110" i="15" s="1"/>
  <c r="J116" i="15"/>
  <c r="N116" i="15" s="1"/>
  <c r="O116" i="15" s="1"/>
  <c r="H23" i="14" s="1"/>
  <c r="J143" i="15"/>
  <c r="N143" i="15" s="1"/>
  <c r="O143" i="15" s="1"/>
  <c r="J218" i="15"/>
  <c r="N218" i="15" s="1"/>
  <c r="O218" i="15" s="1"/>
  <c r="F61" i="14" s="1"/>
  <c r="J224" i="15"/>
  <c r="N224" i="15" s="1"/>
  <c r="O224" i="15" s="1"/>
  <c r="F55" i="14" s="1"/>
  <c r="J242" i="15"/>
  <c r="N242" i="15" s="1"/>
  <c r="O242" i="15" s="1"/>
  <c r="H57" i="14" s="1"/>
  <c r="J93" i="15"/>
  <c r="N93" i="15" s="1"/>
  <c r="O93" i="15" s="1"/>
  <c r="F28" i="14" s="1"/>
  <c r="J119" i="15"/>
  <c r="N119" i="15" s="1"/>
  <c r="O119" i="15" s="1"/>
  <c r="J138" i="15"/>
  <c r="N138" i="15" s="1"/>
  <c r="O138" i="15" s="1"/>
  <c r="D41" i="14" s="1"/>
  <c r="J156" i="15"/>
  <c r="N156" i="15" s="1"/>
  <c r="O156" i="15" s="1"/>
  <c r="F43" i="14" s="1"/>
  <c r="J201" i="15"/>
  <c r="N201" i="15" s="1"/>
  <c r="O201" i="15" s="1"/>
  <c r="D60" i="14" s="1"/>
  <c r="J227" i="15"/>
  <c r="N227" i="15" s="1"/>
  <c r="O227" i="15" s="1"/>
  <c r="J198" i="15"/>
  <c r="N198" i="15" s="1"/>
  <c r="O198" i="15" s="1"/>
  <c r="D61" i="14" s="1"/>
  <c r="J204" i="15"/>
  <c r="N204" i="15" s="1"/>
  <c r="O204" i="15" s="1"/>
  <c r="D55" i="14" s="1"/>
  <c r="J222" i="15"/>
  <c r="N222" i="15" s="1"/>
  <c r="O222" i="15" s="1"/>
  <c r="F57" i="14" s="1"/>
  <c r="J240" i="15"/>
  <c r="N240" i="15" s="1"/>
  <c r="O240" i="15" s="1"/>
  <c r="H59" i="14" s="1"/>
  <c r="N10" i="15"/>
  <c r="J28" i="15"/>
  <c r="N28" i="15" s="1"/>
  <c r="O28" i="15" s="1"/>
  <c r="J99" i="15"/>
  <c r="N99" i="15" s="1"/>
  <c r="O99" i="15" s="1"/>
  <c r="J70" i="15"/>
  <c r="N70" i="15" s="1"/>
  <c r="O70" i="15" s="1"/>
  <c r="D29" i="14" s="1"/>
  <c r="J183" i="15"/>
  <c r="N183" i="15" s="1"/>
  <c r="O183" i="15" s="1"/>
  <c r="J220" i="15"/>
  <c r="N220" i="15" s="1"/>
  <c r="O220" i="15" s="1"/>
  <c r="F59" i="14" s="1"/>
  <c r="J154" i="15"/>
  <c r="N154" i="15" s="1"/>
  <c r="O154" i="15" s="1"/>
  <c r="F45" i="14" s="1"/>
  <c r="J160" i="15"/>
  <c r="N160" i="15" s="1"/>
  <c r="O160" i="15" s="1"/>
  <c r="F39" i="14" s="1"/>
  <c r="H5" i="12"/>
  <c r="J38" i="12"/>
  <c r="L238" i="8"/>
  <c r="H61" i="12" s="1"/>
  <c r="L198" i="8"/>
  <c r="D61" i="12" s="1"/>
  <c r="J218" i="8"/>
  <c r="J174" i="8"/>
  <c r="J154" i="8"/>
  <c r="J110" i="8"/>
  <c r="J90" i="8"/>
  <c r="J70" i="8"/>
  <c r="F22" i="13"/>
  <c r="F21" i="13"/>
  <c r="F11" i="13"/>
  <c r="F10" i="13"/>
  <c r="C9" i="1" s="1"/>
  <c r="I240" i="8"/>
  <c r="L240" i="8" s="1"/>
  <c r="I241" i="8"/>
  <c r="L241" i="8" s="1"/>
  <c r="I242" i="8"/>
  <c r="I243" i="8"/>
  <c r="J243" i="8" s="1"/>
  <c r="I244" i="8"/>
  <c r="L244" i="8" s="1"/>
  <c r="I245" i="8"/>
  <c r="J245" i="8" s="1"/>
  <c r="I246" i="8"/>
  <c r="J246" i="8" s="1"/>
  <c r="I247" i="8"/>
  <c r="L247" i="8" s="1"/>
  <c r="H53" i="12" s="1"/>
  <c r="I249" i="8"/>
  <c r="I220" i="8"/>
  <c r="L220" i="8" s="1"/>
  <c r="I221" i="8"/>
  <c r="L221" i="8" s="1"/>
  <c r="I222" i="8"/>
  <c r="L222" i="8" s="1"/>
  <c r="I223" i="8"/>
  <c r="J223" i="8" s="1"/>
  <c r="I224" i="8"/>
  <c r="L224" i="8" s="1"/>
  <c r="I225" i="8"/>
  <c r="J225" i="8" s="1"/>
  <c r="I226" i="8"/>
  <c r="J226" i="8" s="1"/>
  <c r="I227" i="8"/>
  <c r="L227" i="8" s="1"/>
  <c r="I229" i="8"/>
  <c r="I200" i="8"/>
  <c r="L200" i="8" s="1"/>
  <c r="I201" i="8"/>
  <c r="L201" i="8" s="1"/>
  <c r="I202" i="8"/>
  <c r="I203" i="8"/>
  <c r="J203" i="8" s="1"/>
  <c r="I204" i="8"/>
  <c r="L204" i="8" s="1"/>
  <c r="I205" i="8"/>
  <c r="J205" i="8" s="1"/>
  <c r="I206" i="8"/>
  <c r="J206" i="8" s="1"/>
  <c r="I207" i="8"/>
  <c r="L207" i="8" s="1"/>
  <c r="I209" i="8"/>
  <c r="I176" i="8"/>
  <c r="L176" i="8" s="1"/>
  <c r="I177" i="8"/>
  <c r="L177" i="8" s="1"/>
  <c r="I178" i="8"/>
  <c r="L178" i="8" s="1"/>
  <c r="I179" i="8"/>
  <c r="J179" i="8" s="1"/>
  <c r="I180" i="8"/>
  <c r="L180" i="8" s="1"/>
  <c r="I181" i="8"/>
  <c r="J181" i="8" s="1"/>
  <c r="I182" i="8"/>
  <c r="J182" i="8" s="1"/>
  <c r="I183" i="8"/>
  <c r="L183" i="8" s="1"/>
  <c r="H37" i="12" s="1"/>
  <c r="I185" i="8"/>
  <c r="I156" i="8"/>
  <c r="L156" i="8" s="1"/>
  <c r="I157" i="8"/>
  <c r="L157" i="8" s="1"/>
  <c r="I158" i="8"/>
  <c r="L158" i="8" s="1"/>
  <c r="I159" i="8"/>
  <c r="J159" i="8" s="1"/>
  <c r="I160" i="8"/>
  <c r="L160" i="8" s="1"/>
  <c r="I161" i="8"/>
  <c r="J161" i="8" s="1"/>
  <c r="I162" i="8"/>
  <c r="J162" i="8" s="1"/>
  <c r="I163" i="8"/>
  <c r="L163" i="8" s="1"/>
  <c r="F37" i="12" s="1"/>
  <c r="I165" i="8"/>
  <c r="I136" i="8"/>
  <c r="L136" i="8" s="1"/>
  <c r="I137" i="8"/>
  <c r="L137" i="8" s="1"/>
  <c r="I138" i="8"/>
  <c r="L138" i="8" s="1"/>
  <c r="I139" i="8"/>
  <c r="J139" i="8" s="1"/>
  <c r="I140" i="8"/>
  <c r="L140" i="8" s="1"/>
  <c r="I141" i="8"/>
  <c r="J141" i="8" s="1"/>
  <c r="I142" i="8"/>
  <c r="J142" i="8" s="1"/>
  <c r="I143" i="8"/>
  <c r="L143" i="8" s="1"/>
  <c r="D37" i="12" s="1"/>
  <c r="I145" i="8"/>
  <c r="I112" i="8"/>
  <c r="L112" i="8" s="1"/>
  <c r="I113" i="8"/>
  <c r="L113" i="8" s="1"/>
  <c r="I114" i="8"/>
  <c r="L114" i="8" s="1"/>
  <c r="I115" i="8"/>
  <c r="J115" i="8" s="1"/>
  <c r="I116" i="8"/>
  <c r="L116" i="8" s="1"/>
  <c r="I117" i="8"/>
  <c r="J117" i="8" s="1"/>
  <c r="I118" i="8"/>
  <c r="I119" i="8"/>
  <c r="L119" i="8" s="1"/>
  <c r="H21" i="12" s="1"/>
  <c r="I121" i="8"/>
  <c r="I93" i="8"/>
  <c r="L93" i="8" s="1"/>
  <c r="I94" i="8"/>
  <c r="L94" i="8" s="1"/>
  <c r="I95" i="8"/>
  <c r="J95" i="8" s="1"/>
  <c r="I96" i="8"/>
  <c r="L96" i="8" s="1"/>
  <c r="I97" i="8"/>
  <c r="J97" i="8" s="1"/>
  <c r="I98" i="8"/>
  <c r="I99" i="8"/>
  <c r="L99" i="8" s="1"/>
  <c r="I101" i="8"/>
  <c r="I73" i="8"/>
  <c r="L73" i="8" s="1"/>
  <c r="I74" i="8"/>
  <c r="L74" i="8" s="1"/>
  <c r="I75" i="8"/>
  <c r="J75" i="8" s="1"/>
  <c r="I76" i="8"/>
  <c r="L76" i="8" s="1"/>
  <c r="I77" i="8"/>
  <c r="J77" i="8" s="1"/>
  <c r="I78" i="8"/>
  <c r="I79" i="8"/>
  <c r="L79" i="8" s="1"/>
  <c r="I81" i="8"/>
  <c r="I48" i="8"/>
  <c r="L48" i="8" s="1"/>
  <c r="I49" i="8"/>
  <c r="L49" i="8" s="1"/>
  <c r="I50" i="8"/>
  <c r="L50" i="8" s="1"/>
  <c r="I51" i="8"/>
  <c r="I52" i="8"/>
  <c r="L52" i="8" s="1"/>
  <c r="I53" i="8"/>
  <c r="J53" i="8" s="1"/>
  <c r="I54" i="8"/>
  <c r="I57" i="8"/>
  <c r="I29" i="8"/>
  <c r="L29" i="8" s="1"/>
  <c r="I30" i="8"/>
  <c r="L30" i="8" s="1"/>
  <c r="I31" i="8"/>
  <c r="J31" i="8" s="1"/>
  <c r="I32" i="8"/>
  <c r="L32" i="8" s="1"/>
  <c r="I33" i="8"/>
  <c r="J33" i="8" s="1"/>
  <c r="I34" i="8"/>
  <c r="I35" i="8"/>
  <c r="L35" i="8" s="1"/>
  <c r="F5" i="12" s="1"/>
  <c r="I37" i="8"/>
  <c r="L17" i="8"/>
  <c r="L18" i="8"/>
  <c r="L15" i="8"/>
  <c r="I14" i="8"/>
  <c r="I13" i="8"/>
  <c r="J13" i="8" s="1"/>
  <c r="I12" i="8"/>
  <c r="L12" i="8" s="1"/>
  <c r="J11" i="8"/>
  <c r="I10" i="8"/>
  <c r="L10" i="8" s="1"/>
  <c r="L9" i="8"/>
  <c r="I8" i="8"/>
  <c r="L8" i="8" s="1"/>
  <c r="H9" i="1" l="1" a="1"/>
  <c r="H9" i="1" s="1"/>
  <c r="G9" i="1" a="1"/>
  <c r="G9" i="1" s="1"/>
  <c r="O10" i="15"/>
  <c r="D9" i="14" s="1"/>
  <c r="D53" i="12"/>
  <c r="O98" i="15"/>
  <c r="F22" i="14" s="1"/>
  <c r="O78" i="15"/>
  <c r="D22" i="14" s="1"/>
  <c r="O118" i="15"/>
  <c r="H22" i="14" s="1"/>
  <c r="O34" i="15"/>
  <c r="F6" i="14" s="1"/>
  <c r="O14" i="15"/>
  <c r="D6" i="14" s="1"/>
  <c r="O54" i="15"/>
  <c r="H6" i="14" s="1"/>
  <c r="L242" i="8"/>
  <c r="J242" i="8"/>
  <c r="J118" i="8"/>
  <c r="L118" i="8"/>
  <c r="H22" i="12" s="1"/>
  <c r="J98" i="8"/>
  <c r="L98" i="8"/>
  <c r="F22" i="12" s="1"/>
  <c r="D21" i="12"/>
  <c r="J78" i="8"/>
  <c r="L78" i="8"/>
  <c r="D22" i="12" s="1"/>
  <c r="J54" i="8"/>
  <c r="L54" i="8"/>
  <c r="H6" i="12" s="1"/>
  <c r="J51" i="8"/>
  <c r="L51" i="8"/>
  <c r="H10" i="12" s="1"/>
  <c r="J10" i="12" s="1"/>
  <c r="J34" i="8"/>
  <c r="L34" i="8"/>
  <c r="F6" i="12" s="1"/>
  <c r="J14" i="8"/>
  <c r="L14" i="8"/>
  <c r="D6" i="12" s="1"/>
  <c r="J14" i="12"/>
  <c r="J13" i="12"/>
  <c r="J45" i="12"/>
  <c r="J46" i="12"/>
  <c r="J29" i="12"/>
  <c r="F21" i="12"/>
  <c r="F53" i="12"/>
  <c r="O6" i="15"/>
  <c r="D13" i="14" s="1"/>
  <c r="O73" i="15"/>
  <c r="D28" i="14" s="1"/>
  <c r="J28" i="14" s="1"/>
  <c r="O94" i="15"/>
  <c r="F25" i="14" s="1"/>
  <c r="O122" i="15"/>
  <c r="O164" i="15"/>
  <c r="O38" i="15"/>
  <c r="O29" i="15"/>
  <c r="F12" i="14" s="1"/>
  <c r="O76" i="15"/>
  <c r="D23" i="14" s="1"/>
  <c r="J23" i="14" s="1"/>
  <c r="O100" i="15"/>
  <c r="F21" i="14" s="1"/>
  <c r="O120" i="15"/>
  <c r="H21" i="14" s="1"/>
  <c r="O137" i="15"/>
  <c r="D44" i="14" s="1"/>
  <c r="O249" i="15"/>
  <c r="O58" i="15"/>
  <c r="O48" i="15"/>
  <c r="H11" i="14" s="1"/>
  <c r="O144" i="15"/>
  <c r="D37" i="14" s="1"/>
  <c r="O184" i="15"/>
  <c r="H37" i="14" s="1"/>
  <c r="O8" i="15"/>
  <c r="D11" i="14" s="1"/>
  <c r="O36" i="15"/>
  <c r="F5" i="14" s="1"/>
  <c r="O92" i="15"/>
  <c r="F27" i="14" s="1"/>
  <c r="O114" i="15"/>
  <c r="H25" i="14" s="1"/>
  <c r="O230" i="15"/>
  <c r="O49" i="15"/>
  <c r="H12" i="14" s="1"/>
  <c r="O79" i="15"/>
  <c r="O177" i="15"/>
  <c r="H44" i="14" s="1"/>
  <c r="O248" i="15"/>
  <c r="H53" i="14" s="1"/>
  <c r="O250" i="15"/>
  <c r="O241" i="15"/>
  <c r="H60" i="14" s="1"/>
  <c r="J60" i="14" s="1"/>
  <c r="O244" i="15"/>
  <c r="H55" i="14" s="1"/>
  <c r="J55" i="14" s="1"/>
  <c r="J57" i="14"/>
  <c r="J59" i="14"/>
  <c r="J61" i="14"/>
  <c r="O229" i="15"/>
  <c r="O228" i="15"/>
  <c r="F53" i="14" s="1"/>
  <c r="F63" i="14" s="1"/>
  <c r="O208" i="15"/>
  <c r="O210" i="15"/>
  <c r="O209" i="15"/>
  <c r="J41" i="14"/>
  <c r="O186" i="15"/>
  <c r="O185" i="15"/>
  <c r="O180" i="15"/>
  <c r="H39" i="14" s="1"/>
  <c r="J39" i="14" s="1"/>
  <c r="O157" i="15"/>
  <c r="F44" i="14" s="1"/>
  <c r="O166" i="15"/>
  <c r="O163" i="15"/>
  <c r="O165" i="15"/>
  <c r="O146" i="15"/>
  <c r="D45" i="14"/>
  <c r="J45" i="14" s="1"/>
  <c r="O145" i="15"/>
  <c r="O136" i="15"/>
  <c r="D43" i="14" s="1"/>
  <c r="J43" i="14" s="1"/>
  <c r="O121" i="15"/>
  <c r="H29" i="14"/>
  <c r="J29" i="14" s="1"/>
  <c r="O112" i="15"/>
  <c r="H27" i="14" s="1"/>
  <c r="O102" i="15"/>
  <c r="O101" i="15"/>
  <c r="O80" i="15"/>
  <c r="O74" i="15"/>
  <c r="D25" i="14" s="1"/>
  <c r="O81" i="15"/>
  <c r="O82" i="15"/>
  <c r="O55" i="15"/>
  <c r="H13" i="14"/>
  <c r="O57" i="15"/>
  <c r="O56" i="15"/>
  <c r="F11" i="14"/>
  <c r="O37" i="15"/>
  <c r="O30" i="15"/>
  <c r="F9" i="14" s="1"/>
  <c r="O12" i="15"/>
  <c r="D7" i="14" s="1"/>
  <c r="J7" i="14" s="1"/>
  <c r="O18" i="15"/>
  <c r="E5" i="14" s="1"/>
  <c r="E15" i="14" s="1"/>
  <c r="J62" i="12"/>
  <c r="J61" i="12"/>
  <c r="J249" i="8"/>
  <c r="L249" i="8"/>
  <c r="I53" i="12" s="1"/>
  <c r="I63" i="12" s="1"/>
  <c r="J229" i="8"/>
  <c r="L229" i="8"/>
  <c r="G53" i="12" s="1"/>
  <c r="G63" i="12" s="1"/>
  <c r="J209" i="8"/>
  <c r="L209" i="8"/>
  <c r="E53" i="12" s="1"/>
  <c r="E63" i="12" s="1"/>
  <c r="L202" i="8"/>
  <c r="D57" i="12" s="1"/>
  <c r="J185" i="8"/>
  <c r="L185" i="8"/>
  <c r="I37" i="12" s="1"/>
  <c r="I47" i="12" s="1"/>
  <c r="J165" i="8"/>
  <c r="L165" i="8"/>
  <c r="G37" i="12" s="1"/>
  <c r="G47" i="12" s="1"/>
  <c r="J145" i="8"/>
  <c r="L145" i="8"/>
  <c r="E37" i="12" s="1"/>
  <c r="E47" i="12" s="1"/>
  <c r="J30" i="12"/>
  <c r="J121" i="8"/>
  <c r="L121" i="8"/>
  <c r="I21" i="12" s="1"/>
  <c r="I31" i="12" s="1"/>
  <c r="J101" i="8"/>
  <c r="L101" i="8"/>
  <c r="G21" i="12" s="1"/>
  <c r="G31" i="12" s="1"/>
  <c r="J81" i="8"/>
  <c r="L81" i="8"/>
  <c r="E21" i="12" s="1"/>
  <c r="E31" i="12" s="1"/>
  <c r="J57" i="8"/>
  <c r="L57" i="8"/>
  <c r="J37" i="8"/>
  <c r="L37" i="8"/>
  <c r="D5" i="12"/>
  <c r="E5" i="12"/>
  <c r="E15" i="12" s="1"/>
  <c r="J202" i="8"/>
  <c r="J163" i="8"/>
  <c r="J15" i="8"/>
  <c r="J28" i="8"/>
  <c r="J50" i="8"/>
  <c r="H9" i="12"/>
  <c r="J92" i="8"/>
  <c r="J157" i="8"/>
  <c r="F44" i="12"/>
  <c r="J207" i="8"/>
  <c r="J222" i="8"/>
  <c r="F57" i="12"/>
  <c r="J8" i="8"/>
  <c r="J35" i="8"/>
  <c r="J49" i="8"/>
  <c r="H12" i="12"/>
  <c r="J76" i="8"/>
  <c r="D23" i="12"/>
  <c r="J99" i="8"/>
  <c r="J114" i="8"/>
  <c r="H25" i="12"/>
  <c r="J156" i="8"/>
  <c r="J178" i="8"/>
  <c r="H41" i="12"/>
  <c r="J221" i="8"/>
  <c r="F60" i="12"/>
  <c r="J244" i="8"/>
  <c r="H55" i="12"/>
  <c r="D12" i="12"/>
  <c r="J140" i="8"/>
  <c r="D39" i="12"/>
  <c r="J177" i="8"/>
  <c r="H44" i="12"/>
  <c r="J220" i="8"/>
  <c r="J55" i="8"/>
  <c r="J74" i="8"/>
  <c r="D25" i="12"/>
  <c r="J112" i="8"/>
  <c r="J176" i="8"/>
  <c r="J204" i="8"/>
  <c r="D55" i="12"/>
  <c r="J227" i="8"/>
  <c r="H57" i="12"/>
  <c r="J32" i="8"/>
  <c r="F7" i="12"/>
  <c r="J73" i="8"/>
  <c r="D28" i="12"/>
  <c r="J96" i="8"/>
  <c r="F23" i="12"/>
  <c r="J119" i="8"/>
  <c r="J138" i="8"/>
  <c r="D41" i="12"/>
  <c r="J183" i="8"/>
  <c r="J241" i="8"/>
  <c r="H60" i="12"/>
  <c r="J48" i="8"/>
  <c r="J113" i="8"/>
  <c r="H28" i="12"/>
  <c r="J10" i="8"/>
  <c r="D9" i="12"/>
  <c r="J12" i="8"/>
  <c r="D7" i="12"/>
  <c r="J72" i="8"/>
  <c r="J137" i="8"/>
  <c r="D44" i="12"/>
  <c r="J240" i="8"/>
  <c r="J52" i="8"/>
  <c r="H7" i="12"/>
  <c r="J79" i="8"/>
  <c r="J94" i="8"/>
  <c r="F25" i="12"/>
  <c r="J136" i="8"/>
  <c r="J201" i="8"/>
  <c r="D60" i="12"/>
  <c r="J224" i="8"/>
  <c r="F55" i="12"/>
  <c r="J247" i="8"/>
  <c r="J160" i="8"/>
  <c r="F39" i="12"/>
  <c r="J30" i="8"/>
  <c r="F9" i="12"/>
  <c r="J29" i="8"/>
  <c r="F12" i="12"/>
  <c r="J93" i="8"/>
  <c r="F28" i="12"/>
  <c r="J116" i="8"/>
  <c r="H23" i="12"/>
  <c r="J143" i="8"/>
  <c r="J158" i="8"/>
  <c r="F41" i="12"/>
  <c r="J180" i="8"/>
  <c r="H39" i="12"/>
  <c r="J200" i="8"/>
  <c r="J9" i="14" l="1"/>
  <c r="J22" i="14"/>
  <c r="J6" i="14"/>
  <c r="J22" i="12"/>
  <c r="J6" i="12"/>
  <c r="M4" i="8"/>
  <c r="J9" i="12"/>
  <c r="I21" i="14"/>
  <c r="I31" i="14" s="1"/>
  <c r="I53" i="14"/>
  <c r="I63" i="14" s="1"/>
  <c r="J12" i="14"/>
  <c r="J27" i="14"/>
  <c r="I5" i="14"/>
  <c r="I15" i="14" s="1"/>
  <c r="F37" i="14"/>
  <c r="F47" i="14" s="1"/>
  <c r="H5" i="14"/>
  <c r="H15" i="14" s="1"/>
  <c r="G37" i="14"/>
  <c r="G47" i="14" s="1"/>
  <c r="F31" i="14"/>
  <c r="J13" i="14"/>
  <c r="H47" i="14"/>
  <c r="G5" i="14"/>
  <c r="J25" i="14"/>
  <c r="J11" i="14"/>
  <c r="J44" i="14"/>
  <c r="E37" i="14"/>
  <c r="E47" i="14" s="1"/>
  <c r="D21" i="14"/>
  <c r="D31" i="14" s="1"/>
  <c r="P196" i="15"/>
  <c r="G53" i="14"/>
  <c r="G63" i="14" s="1"/>
  <c r="P172" i="15"/>
  <c r="J60" i="12"/>
  <c r="F15" i="14"/>
  <c r="E21" i="14"/>
  <c r="E31" i="14" s="1"/>
  <c r="H63" i="14"/>
  <c r="E53" i="14"/>
  <c r="E63" i="14" s="1"/>
  <c r="P236" i="15"/>
  <c r="P216" i="15"/>
  <c r="D53" i="14"/>
  <c r="I37" i="14"/>
  <c r="I47" i="14" s="1"/>
  <c r="P152" i="15"/>
  <c r="P132" i="15"/>
  <c r="D47" i="14"/>
  <c r="H31" i="14"/>
  <c r="P108" i="15"/>
  <c r="P88" i="15"/>
  <c r="G21" i="14"/>
  <c r="G31" i="14" s="1"/>
  <c r="P68" i="15"/>
  <c r="P44" i="15"/>
  <c r="P24" i="15"/>
  <c r="P4" i="15"/>
  <c r="J53" i="12"/>
  <c r="J37" i="12"/>
  <c r="J28" i="12"/>
  <c r="J21" i="12"/>
  <c r="I5" i="12"/>
  <c r="I15" i="12" s="1"/>
  <c r="J7" i="12"/>
  <c r="G5" i="12"/>
  <c r="G15" i="12" s="1"/>
  <c r="J39" i="12"/>
  <c r="D15" i="14"/>
  <c r="J12" i="12"/>
  <c r="J44" i="12"/>
  <c r="J41" i="12"/>
  <c r="J55" i="12"/>
  <c r="J57" i="12"/>
  <c r="J25" i="12"/>
  <c r="J23" i="12"/>
  <c r="M24" i="8"/>
  <c r="M132" i="8"/>
  <c r="M108" i="8"/>
  <c r="M88" i="8"/>
  <c r="M68" i="8"/>
  <c r="M152" i="8"/>
  <c r="M172" i="8"/>
  <c r="M196" i="8"/>
  <c r="M216" i="8"/>
  <c r="M236" i="8"/>
  <c r="M44" i="8"/>
  <c r="H43" i="12"/>
  <c r="H47" i="12" s="1"/>
  <c r="D43" i="12"/>
  <c r="D47" i="12" s="1"/>
  <c r="D11" i="12"/>
  <c r="D59" i="12"/>
  <c r="D63" i="12" s="1"/>
  <c r="D27" i="12"/>
  <c r="H27" i="12"/>
  <c r="H31" i="12" s="1"/>
  <c r="F59" i="12"/>
  <c r="F63" i="12" s="1"/>
  <c r="F11" i="12"/>
  <c r="F15" i="12" s="1"/>
  <c r="H11" i="12"/>
  <c r="H15" i="12" s="1"/>
  <c r="H59" i="12"/>
  <c r="H63" i="12" s="1"/>
  <c r="F43" i="12"/>
  <c r="F47" i="12" s="1"/>
  <c r="F27" i="12"/>
  <c r="F31" i="12" s="1"/>
  <c r="J5" i="14" l="1"/>
  <c r="E64" i="14"/>
  <c r="G15" i="14"/>
  <c r="J15" i="14" s="1"/>
  <c r="C8" i="1" s="1"/>
  <c r="E48" i="14"/>
  <c r="E32" i="14"/>
  <c r="P256" i="15"/>
  <c r="P192" i="15"/>
  <c r="D63" i="14"/>
  <c r="J53" i="14"/>
  <c r="J37" i="14"/>
  <c r="D48" i="14"/>
  <c r="J47" i="14"/>
  <c r="E8" i="1" s="1"/>
  <c r="P128" i="15"/>
  <c r="J21" i="14"/>
  <c r="D32" i="14"/>
  <c r="J31" i="14"/>
  <c r="D8" i="1" s="1"/>
  <c r="P64" i="15"/>
  <c r="E16" i="12"/>
  <c r="C5" i="1" s="1"/>
  <c r="J5" i="12"/>
  <c r="D16" i="14"/>
  <c r="J27" i="12"/>
  <c r="J59" i="12"/>
  <c r="D31" i="12"/>
  <c r="J11" i="12"/>
  <c r="J43" i="12"/>
  <c r="D15" i="12"/>
  <c r="M64" i="8"/>
  <c r="M128" i="8"/>
  <c r="E64" i="12"/>
  <c r="F5" i="1" s="1"/>
  <c r="M192" i="8"/>
  <c r="E48" i="12"/>
  <c r="E5" i="1" s="1"/>
  <c r="M256" i="8"/>
  <c r="E32" i="12"/>
  <c r="D5" i="1" s="1"/>
  <c r="H5" i="1" l="1" a="1"/>
  <c r="H5" i="1" s="1"/>
  <c r="G5" i="1" a="1"/>
  <c r="G5" i="1" s="1"/>
  <c r="E16" i="14"/>
  <c r="D64" i="14"/>
  <c r="J63" i="14"/>
  <c r="F8" i="1" s="1"/>
  <c r="G8" i="1" s="1" a="1"/>
  <c r="G8" i="1" s="1"/>
  <c r="J15" i="12"/>
  <c r="D16" i="12"/>
  <c r="C4" i="1" s="1"/>
  <c r="J63" i="12"/>
  <c r="D64" i="12"/>
  <c r="F4" i="1" s="1"/>
  <c r="J47" i="12"/>
  <c r="D48" i="12"/>
  <c r="E4" i="1" s="1"/>
  <c r="D32" i="12"/>
  <c r="D4" i="1" s="1"/>
  <c r="J31" i="12"/>
  <c r="H8" i="1" l="1" a="1"/>
  <c r="H8" i="1" s="1"/>
  <c r="G4" i="1" a="1"/>
  <c r="G4" i="1" s="1"/>
  <c r="C11" i="1" s="1"/>
  <c r="H4" i="1" a="1"/>
  <c r="H4" i="1" s="1"/>
  <c r="E11" i="1" l="1"/>
  <c r="F11" i="1"/>
  <c r="D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B2" authorId="0" shapeId="0" xr:uid="{310AC6DF-187E-454D-AA68-7EB17ED49313}">
      <text>
        <r>
          <rPr>
            <b/>
            <sz val="9"/>
            <color indexed="81"/>
            <rFont val="Tahoma"/>
            <family val="2"/>
          </rPr>
          <t>Andrew Otto:</t>
        </r>
        <r>
          <rPr>
            <sz val="9"/>
            <color indexed="81"/>
            <rFont val="Tahoma"/>
            <family val="2"/>
          </rPr>
          <t xml:space="preserve">
Use this as a workaround for situations such as where the shoulders are different from the carriageway. Use the PRIMARY DASHBOARD to evaulate a carriageway option (e.g. Option 1) and its shoulder option (e.g. Option 2) at a time and note the combined sums in this SECONDARY DASHBOARD as Option 1. Repeat this for other options. There are also other ingenious ways that these dashboards could be used.</t>
        </r>
      </text>
    </comment>
    <comment ref="C14" authorId="0" shapeId="0" xr:uid="{E141A815-C12B-4525-8C38-7E9F03211655}">
      <text>
        <r>
          <rPr>
            <b/>
            <sz val="9"/>
            <color indexed="81"/>
            <rFont val="Tahoma"/>
            <family val="2"/>
          </rPr>
          <t>Andrew Otto:</t>
        </r>
        <r>
          <rPr>
            <sz val="9"/>
            <color indexed="81"/>
            <rFont val="Tahoma"/>
            <family val="2"/>
          </rPr>
          <t xml:space="preserve">
If a parameter is not to be considered then assign a weight of 0.00, but ensure that the total criteria weighting equals 1.00</t>
        </r>
      </text>
    </comment>
    <comment ref="B27" authorId="0" shapeId="0" xr:uid="{03E3D6A4-1284-4ECF-B28A-9A1B43742DEB}">
      <text>
        <r>
          <rPr>
            <b/>
            <sz val="9"/>
            <color indexed="81"/>
            <rFont val="Tahoma"/>
            <family val="2"/>
          </rPr>
          <t>Andrew Otto:</t>
        </r>
        <r>
          <rPr>
            <sz val="9"/>
            <color indexed="81"/>
            <rFont val="Tahoma"/>
            <family val="2"/>
          </rPr>
          <t xml:space="preserve">
Use this as a workaround for situations such as where each Option has more than 3 sections. Use the PRIMARY DASHBOARD to evaulate all the sections (e.g. for a road with 5 sections, use Option 1 for first 3 sections and Option 2 for say another 2 sections) and note the combined sums in this SECONDARY DASHBOARD as Option 1. Repeat this for other options. This dashboard may also be used to include a different set of parameters obtained from external sources/tools. ALL VALUES IN THE GREEN CELLS MUST BE GREATER THAN 0.00001, AND NO GREEN CELL MUST BE LEFT BLANK.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C7" authorId="0" shapeId="0" xr:uid="{9C1B21F2-7DC7-406F-85B1-26DB603C98E2}">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I4" authorId="0" shapeId="0" xr:uid="{CE998939-3B10-44BB-A354-F3EC856383B7}">
      <text>
        <r>
          <rPr>
            <b/>
            <sz val="9"/>
            <color indexed="81"/>
            <rFont val="Tahoma"/>
            <family val="2"/>
          </rPr>
          <t>Andrew Otto:</t>
        </r>
        <r>
          <rPr>
            <sz val="9"/>
            <color indexed="81"/>
            <rFont val="Tahoma"/>
            <family val="2"/>
          </rPr>
          <t xml:space="preserve">
If Ground clearing is to be undertaken then insert quantity in hectares here.</t>
        </r>
      </text>
    </comment>
    <comment ref="F6" authorId="0" shapeId="0" xr:uid="{1C3AA238-61EE-4FA1-A847-F078B7210C37}">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7" authorId="0" shapeId="0" xr:uid="{B534AD5B-C58E-40DB-A878-5B140106DDAD}">
      <text>
        <r>
          <rPr>
            <b/>
            <sz val="9"/>
            <color indexed="81"/>
            <rFont val="Tahoma"/>
            <family val="2"/>
          </rPr>
          <t>Andrew Otto:</t>
        </r>
        <r>
          <rPr>
            <sz val="9"/>
            <color indexed="81"/>
            <rFont val="Tahoma"/>
            <family val="2"/>
          </rPr>
          <t xml:space="preserve">
If Rockfill is to be used, then insert quantity in tonnes here.</t>
        </r>
      </text>
    </comment>
    <comment ref="I16" authorId="0" shapeId="0" xr:uid="{B85B1DBC-8CFD-4E5A-A67B-83594E486683}">
      <text>
        <r>
          <rPr>
            <b/>
            <sz val="9"/>
            <color indexed="81"/>
            <rFont val="Tahoma"/>
            <family val="2"/>
          </rPr>
          <t>Andrew Otto:</t>
        </r>
        <r>
          <rPr>
            <sz val="9"/>
            <color indexed="81"/>
            <rFont val="Tahoma"/>
            <family val="2"/>
          </rPr>
          <t xml:space="preserve">
This is the area in square metres.</t>
        </r>
      </text>
    </comment>
    <comment ref="I18" authorId="0" shapeId="0" xr:uid="{642C3C10-0992-4853-A69C-648D1CE7C989}">
      <text>
        <r>
          <rPr>
            <b/>
            <sz val="9"/>
            <color indexed="81"/>
            <rFont val="Tahoma"/>
            <family val="2"/>
          </rPr>
          <t>Andrew Otto:</t>
        </r>
        <r>
          <rPr>
            <sz val="9"/>
            <color indexed="81"/>
            <rFont val="Tahoma"/>
            <family val="2"/>
          </rPr>
          <t xml:space="preserve">
This is the area in square metres.</t>
        </r>
      </text>
    </comment>
    <comment ref="H19" authorId="0" shapeId="0" xr:uid="{8819043D-9393-4DDA-87A2-D012E1188828}">
      <text>
        <r>
          <rPr>
            <b/>
            <sz val="9"/>
            <color indexed="81"/>
            <rFont val="Tahoma"/>
            <family val="2"/>
          </rPr>
          <t>Andrew Otto:</t>
        </r>
        <r>
          <rPr>
            <sz val="9"/>
            <color indexed="81"/>
            <rFont val="Tahoma"/>
            <family val="2"/>
          </rPr>
          <t xml:space="preserve">
This is a spray rate per square metre.</t>
        </r>
      </text>
    </comment>
    <comment ref="H20" authorId="0" shapeId="0" xr:uid="{5A2B9E1D-FF84-48B6-8C32-DD2F26345642}">
      <text>
        <r>
          <rPr>
            <b/>
            <sz val="9"/>
            <color indexed="81"/>
            <rFont val="Tahoma"/>
            <family val="2"/>
          </rPr>
          <t>Andrew Otto:</t>
        </r>
        <r>
          <rPr>
            <sz val="9"/>
            <color indexed="81"/>
            <rFont val="Tahoma"/>
            <family val="2"/>
          </rPr>
          <t xml:space="preserve">
This is a spray rate per square metre.</t>
        </r>
      </text>
    </comment>
    <comment ref="H21" authorId="0" shapeId="0" xr:uid="{E4EB70C5-A3B0-4220-92C9-BBD676A2BF2B}">
      <text>
        <r>
          <rPr>
            <b/>
            <sz val="9"/>
            <color indexed="81"/>
            <rFont val="Tahoma"/>
            <family val="2"/>
          </rPr>
          <t>Andrew Otto:</t>
        </r>
        <r>
          <rPr>
            <sz val="9"/>
            <color indexed="81"/>
            <rFont val="Tahoma"/>
            <family val="2"/>
          </rPr>
          <t xml:space="preserve">
This is a spray rate per square metre.</t>
        </r>
      </text>
    </comment>
    <comment ref="I24" authorId="0" shapeId="0" xr:uid="{BC140EBF-B7A2-4D9C-A1EF-5BB942B59B11}">
      <text>
        <r>
          <rPr>
            <b/>
            <sz val="9"/>
            <color indexed="81"/>
            <rFont val="Tahoma"/>
            <family val="2"/>
          </rPr>
          <t>Andrew Otto:</t>
        </r>
        <r>
          <rPr>
            <sz val="9"/>
            <color indexed="81"/>
            <rFont val="Tahoma"/>
            <family val="2"/>
          </rPr>
          <t xml:space="preserve">
If Ground clearing is to be undertaken then insert quantity in hectares here.</t>
        </r>
      </text>
    </comment>
    <comment ref="F26" authorId="0" shapeId="0" xr:uid="{B8BE72A3-C67F-4D44-9180-AB40B654DC61}">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7" authorId="0" shapeId="0" xr:uid="{5AD598DB-A6C0-45BA-805D-7959657598AF}">
      <text>
        <r>
          <rPr>
            <b/>
            <sz val="9"/>
            <color indexed="81"/>
            <rFont val="Tahoma"/>
            <family val="2"/>
          </rPr>
          <t>Andrew Otto:</t>
        </r>
        <r>
          <rPr>
            <sz val="9"/>
            <color indexed="81"/>
            <rFont val="Tahoma"/>
            <family val="2"/>
          </rPr>
          <t xml:space="preserve">
If Rockfill is to be used, then insert quantity in tonnes here.</t>
        </r>
      </text>
    </comment>
    <comment ref="I36" authorId="0" shapeId="0" xr:uid="{90D0A0B7-71AE-40C1-8005-982D574BAB17}">
      <text>
        <r>
          <rPr>
            <b/>
            <sz val="9"/>
            <color indexed="81"/>
            <rFont val="Tahoma"/>
            <family val="2"/>
          </rPr>
          <t>Andrew Otto:</t>
        </r>
        <r>
          <rPr>
            <sz val="9"/>
            <color indexed="81"/>
            <rFont val="Tahoma"/>
            <family val="2"/>
          </rPr>
          <t xml:space="preserve">
This is the area in square metres.</t>
        </r>
      </text>
    </comment>
    <comment ref="I38" authorId="0" shapeId="0" xr:uid="{27DF76A8-48E1-4025-B5B8-51F5918265E2}">
      <text>
        <r>
          <rPr>
            <b/>
            <sz val="9"/>
            <color indexed="81"/>
            <rFont val="Tahoma"/>
            <family val="2"/>
          </rPr>
          <t>Andrew Otto:</t>
        </r>
        <r>
          <rPr>
            <sz val="9"/>
            <color indexed="81"/>
            <rFont val="Tahoma"/>
            <family val="2"/>
          </rPr>
          <t xml:space="preserve">
This is the area in square metres.</t>
        </r>
      </text>
    </comment>
    <comment ref="H39" authorId="0" shapeId="0" xr:uid="{F35AFC42-FDA1-4AB2-B55A-DB34D3287744}">
      <text>
        <r>
          <rPr>
            <b/>
            <sz val="9"/>
            <color indexed="81"/>
            <rFont val="Tahoma"/>
            <family val="2"/>
          </rPr>
          <t>Andrew Otto:</t>
        </r>
        <r>
          <rPr>
            <sz val="9"/>
            <color indexed="81"/>
            <rFont val="Tahoma"/>
            <family val="2"/>
          </rPr>
          <t xml:space="preserve">
This is a spray rate per square metre.</t>
        </r>
      </text>
    </comment>
    <comment ref="H40" authorId="0" shapeId="0" xr:uid="{0E1A3977-2308-43AE-B76E-B78B7F30F0A9}">
      <text>
        <r>
          <rPr>
            <b/>
            <sz val="9"/>
            <color indexed="81"/>
            <rFont val="Tahoma"/>
            <family val="2"/>
          </rPr>
          <t>Andrew Otto:</t>
        </r>
        <r>
          <rPr>
            <sz val="9"/>
            <color indexed="81"/>
            <rFont val="Tahoma"/>
            <family val="2"/>
          </rPr>
          <t xml:space="preserve">
This is a spray rate per square metre.</t>
        </r>
      </text>
    </comment>
    <comment ref="H41" authorId="0" shapeId="0" xr:uid="{6E9ED0C9-CAAB-410E-95D4-FB4E71D933C0}">
      <text>
        <r>
          <rPr>
            <b/>
            <sz val="9"/>
            <color indexed="81"/>
            <rFont val="Tahoma"/>
            <family val="2"/>
          </rPr>
          <t>Andrew Otto:</t>
        </r>
        <r>
          <rPr>
            <sz val="9"/>
            <color indexed="81"/>
            <rFont val="Tahoma"/>
            <family val="2"/>
          </rPr>
          <t xml:space="preserve">
This is a spray rate per square metre.</t>
        </r>
      </text>
    </comment>
    <comment ref="I44" authorId="0" shapeId="0" xr:uid="{6062F008-1359-4634-BB91-BA123858EFF2}">
      <text>
        <r>
          <rPr>
            <b/>
            <sz val="9"/>
            <color indexed="81"/>
            <rFont val="Tahoma"/>
            <family val="2"/>
          </rPr>
          <t>Andrew Otto:</t>
        </r>
        <r>
          <rPr>
            <sz val="9"/>
            <color indexed="81"/>
            <rFont val="Tahoma"/>
            <family val="2"/>
          </rPr>
          <t xml:space="preserve">
If Ground clearing is to be undertaken then insert quantity in hectares here.</t>
        </r>
      </text>
    </comment>
    <comment ref="F46" authorId="0" shapeId="0" xr:uid="{482053F5-6940-47D3-8BCB-03945DB9FFA0}">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47" authorId="0" shapeId="0" xr:uid="{66879FC8-E09A-472D-BB47-6ABB6A0BED01}">
      <text>
        <r>
          <rPr>
            <b/>
            <sz val="9"/>
            <color indexed="81"/>
            <rFont val="Tahoma"/>
            <family val="2"/>
          </rPr>
          <t>Andrew Otto:</t>
        </r>
        <r>
          <rPr>
            <sz val="9"/>
            <color indexed="81"/>
            <rFont val="Tahoma"/>
            <family val="2"/>
          </rPr>
          <t xml:space="preserve">
If Rockfill is to be used, then insert quantity in tonnes here.</t>
        </r>
      </text>
    </comment>
    <comment ref="I56" authorId="0" shapeId="0" xr:uid="{7DBE0D61-441B-4E56-8CB0-1F8FBCA0FF69}">
      <text>
        <r>
          <rPr>
            <b/>
            <sz val="9"/>
            <color indexed="81"/>
            <rFont val="Tahoma"/>
            <family val="2"/>
          </rPr>
          <t>Andrew Otto:</t>
        </r>
        <r>
          <rPr>
            <sz val="9"/>
            <color indexed="81"/>
            <rFont val="Tahoma"/>
            <family val="2"/>
          </rPr>
          <t xml:space="preserve">
This is the area in square metres.</t>
        </r>
      </text>
    </comment>
    <comment ref="I58" authorId="0" shapeId="0" xr:uid="{FF18F14D-E8E1-4427-8F08-F129237387AF}">
      <text>
        <r>
          <rPr>
            <b/>
            <sz val="9"/>
            <color indexed="81"/>
            <rFont val="Tahoma"/>
            <family val="2"/>
          </rPr>
          <t>Andrew Otto:</t>
        </r>
        <r>
          <rPr>
            <sz val="9"/>
            <color indexed="81"/>
            <rFont val="Tahoma"/>
            <family val="2"/>
          </rPr>
          <t xml:space="preserve">
This is the area in square metres.</t>
        </r>
      </text>
    </comment>
    <comment ref="H59" authorId="0" shapeId="0" xr:uid="{5A121568-CF67-4407-A87D-B35AEB51D066}">
      <text>
        <r>
          <rPr>
            <b/>
            <sz val="9"/>
            <color indexed="81"/>
            <rFont val="Tahoma"/>
            <family val="2"/>
          </rPr>
          <t>Andrew Otto:</t>
        </r>
        <r>
          <rPr>
            <sz val="9"/>
            <color indexed="81"/>
            <rFont val="Tahoma"/>
            <family val="2"/>
          </rPr>
          <t xml:space="preserve">
This is a spray rate per square metre.</t>
        </r>
      </text>
    </comment>
    <comment ref="H60" authorId="0" shapeId="0" xr:uid="{7D77A157-770E-42C9-BBBE-308DC286071E}">
      <text>
        <r>
          <rPr>
            <b/>
            <sz val="9"/>
            <color indexed="81"/>
            <rFont val="Tahoma"/>
            <family val="2"/>
          </rPr>
          <t>Andrew Otto:</t>
        </r>
        <r>
          <rPr>
            <sz val="9"/>
            <color indexed="81"/>
            <rFont val="Tahoma"/>
            <family val="2"/>
          </rPr>
          <t xml:space="preserve">
This is a spray rate per square metre.</t>
        </r>
      </text>
    </comment>
    <comment ref="H61" authorId="0" shapeId="0" xr:uid="{36E00846-4480-4AC2-8AF0-0D89C839F481}">
      <text>
        <r>
          <rPr>
            <b/>
            <sz val="9"/>
            <color indexed="81"/>
            <rFont val="Tahoma"/>
            <family val="2"/>
          </rPr>
          <t>Andrew Otto:</t>
        </r>
        <r>
          <rPr>
            <sz val="9"/>
            <color indexed="81"/>
            <rFont val="Tahoma"/>
            <family val="2"/>
          </rPr>
          <t xml:space="preserve">
This is a spray rate per square metre.</t>
        </r>
      </text>
    </comment>
    <comment ref="I68" authorId="0" shapeId="0" xr:uid="{C9495556-0C56-4309-A48C-69D0309278DD}">
      <text>
        <r>
          <rPr>
            <b/>
            <sz val="9"/>
            <color indexed="81"/>
            <rFont val="Tahoma"/>
            <family val="2"/>
          </rPr>
          <t>Andrew Otto:</t>
        </r>
        <r>
          <rPr>
            <sz val="9"/>
            <color indexed="81"/>
            <rFont val="Tahoma"/>
            <family val="2"/>
          </rPr>
          <t xml:space="preserve">
If Ground clearing is to be undertaken then insert quantity in hectares here.</t>
        </r>
      </text>
    </comment>
    <comment ref="F70" authorId="0" shapeId="0" xr:uid="{2600B342-388E-4D9C-B6DD-B4E99ED1B96D}">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71" authorId="0" shapeId="0" xr:uid="{2F949FDA-E72B-4C8D-9603-AB2174E26B8F}">
      <text>
        <r>
          <rPr>
            <b/>
            <sz val="9"/>
            <color indexed="81"/>
            <rFont val="Tahoma"/>
            <family val="2"/>
          </rPr>
          <t>Andrew Otto:</t>
        </r>
        <r>
          <rPr>
            <sz val="9"/>
            <color indexed="81"/>
            <rFont val="Tahoma"/>
            <family val="2"/>
          </rPr>
          <t xml:space="preserve">
If Rockfill is to be used, then insert quantity in tonnes here.</t>
        </r>
      </text>
    </comment>
    <comment ref="I80" authorId="0" shapeId="0" xr:uid="{42F1DC09-4ADD-4316-B7C5-05F88C57B66E}">
      <text>
        <r>
          <rPr>
            <b/>
            <sz val="9"/>
            <color indexed="81"/>
            <rFont val="Tahoma"/>
            <family val="2"/>
          </rPr>
          <t>Andrew Otto:</t>
        </r>
        <r>
          <rPr>
            <sz val="9"/>
            <color indexed="81"/>
            <rFont val="Tahoma"/>
            <family val="2"/>
          </rPr>
          <t xml:space="preserve">
This is the area in square metres.</t>
        </r>
      </text>
    </comment>
    <comment ref="I82" authorId="0" shapeId="0" xr:uid="{68C4D24C-F971-4BCE-A7BE-7836897F6560}">
      <text>
        <r>
          <rPr>
            <b/>
            <sz val="9"/>
            <color indexed="81"/>
            <rFont val="Tahoma"/>
            <family val="2"/>
          </rPr>
          <t>Andrew Otto:</t>
        </r>
        <r>
          <rPr>
            <sz val="9"/>
            <color indexed="81"/>
            <rFont val="Tahoma"/>
            <family val="2"/>
          </rPr>
          <t xml:space="preserve">
This is the area in square metres.</t>
        </r>
      </text>
    </comment>
    <comment ref="H83" authorId="0" shapeId="0" xr:uid="{FC827E75-A306-407B-89D5-61B1120E6047}">
      <text>
        <r>
          <rPr>
            <b/>
            <sz val="9"/>
            <color indexed="81"/>
            <rFont val="Tahoma"/>
            <family val="2"/>
          </rPr>
          <t>Andrew Otto:</t>
        </r>
        <r>
          <rPr>
            <sz val="9"/>
            <color indexed="81"/>
            <rFont val="Tahoma"/>
            <family val="2"/>
          </rPr>
          <t xml:space="preserve">
This is a spray rate per square metre.</t>
        </r>
      </text>
    </comment>
    <comment ref="H84" authorId="0" shapeId="0" xr:uid="{9E7B51E6-FC8E-4732-B968-1FEC47FF651E}">
      <text>
        <r>
          <rPr>
            <b/>
            <sz val="9"/>
            <color indexed="81"/>
            <rFont val="Tahoma"/>
            <family val="2"/>
          </rPr>
          <t>Andrew Otto:</t>
        </r>
        <r>
          <rPr>
            <sz val="9"/>
            <color indexed="81"/>
            <rFont val="Tahoma"/>
            <family val="2"/>
          </rPr>
          <t xml:space="preserve">
This is a spray rate per square metre.</t>
        </r>
      </text>
    </comment>
    <comment ref="H85" authorId="0" shapeId="0" xr:uid="{C1B5F03A-A887-41D7-8014-CB5FD282EC98}">
      <text>
        <r>
          <rPr>
            <b/>
            <sz val="9"/>
            <color indexed="81"/>
            <rFont val="Tahoma"/>
            <family val="2"/>
          </rPr>
          <t>Andrew Otto:</t>
        </r>
        <r>
          <rPr>
            <sz val="9"/>
            <color indexed="81"/>
            <rFont val="Tahoma"/>
            <family val="2"/>
          </rPr>
          <t xml:space="preserve">
This is a spray rate per square metre.</t>
        </r>
      </text>
    </comment>
    <comment ref="I88" authorId="0" shapeId="0" xr:uid="{D638BCD0-9FD2-4A83-998F-3F4142CECB77}">
      <text>
        <r>
          <rPr>
            <b/>
            <sz val="9"/>
            <color indexed="81"/>
            <rFont val="Tahoma"/>
            <family val="2"/>
          </rPr>
          <t>Andrew Otto:</t>
        </r>
        <r>
          <rPr>
            <sz val="9"/>
            <color indexed="81"/>
            <rFont val="Tahoma"/>
            <family val="2"/>
          </rPr>
          <t xml:space="preserve">
If Ground clearing is to be undertaken then insert quantity in hectares here.</t>
        </r>
      </text>
    </comment>
    <comment ref="F90" authorId="0" shapeId="0" xr:uid="{DBF85852-005B-4BFC-84DD-CE071F2D10DE}">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91" authorId="0" shapeId="0" xr:uid="{4223C1D6-63B1-4C12-BF41-F54104AFE7C8}">
      <text>
        <r>
          <rPr>
            <b/>
            <sz val="9"/>
            <color indexed="81"/>
            <rFont val="Tahoma"/>
            <family val="2"/>
          </rPr>
          <t>Andrew Otto:</t>
        </r>
        <r>
          <rPr>
            <sz val="9"/>
            <color indexed="81"/>
            <rFont val="Tahoma"/>
            <family val="2"/>
          </rPr>
          <t xml:space="preserve">
If Rockfill is to be used, then insert quantity in tonnes here.</t>
        </r>
      </text>
    </comment>
    <comment ref="I100" authorId="0" shapeId="0" xr:uid="{31514CA6-0420-428F-A754-FA95DA6D4ECC}">
      <text>
        <r>
          <rPr>
            <b/>
            <sz val="9"/>
            <color indexed="81"/>
            <rFont val="Tahoma"/>
            <family val="2"/>
          </rPr>
          <t>Andrew Otto:</t>
        </r>
        <r>
          <rPr>
            <sz val="9"/>
            <color indexed="81"/>
            <rFont val="Tahoma"/>
            <family val="2"/>
          </rPr>
          <t xml:space="preserve">
This is the area in square metres.</t>
        </r>
      </text>
    </comment>
    <comment ref="I102" authorId="0" shapeId="0" xr:uid="{B52A6184-D515-4E80-875F-4C84243CB4C4}">
      <text>
        <r>
          <rPr>
            <b/>
            <sz val="9"/>
            <color indexed="81"/>
            <rFont val="Tahoma"/>
            <family val="2"/>
          </rPr>
          <t>Andrew Otto:</t>
        </r>
        <r>
          <rPr>
            <sz val="9"/>
            <color indexed="81"/>
            <rFont val="Tahoma"/>
            <family val="2"/>
          </rPr>
          <t xml:space="preserve">
This is the area in square metres.</t>
        </r>
      </text>
    </comment>
    <comment ref="H103" authorId="0" shapeId="0" xr:uid="{0B709B3C-DB81-4147-87E2-413923748895}">
      <text>
        <r>
          <rPr>
            <b/>
            <sz val="9"/>
            <color indexed="81"/>
            <rFont val="Tahoma"/>
            <family val="2"/>
          </rPr>
          <t>Andrew Otto:</t>
        </r>
        <r>
          <rPr>
            <sz val="9"/>
            <color indexed="81"/>
            <rFont val="Tahoma"/>
            <family val="2"/>
          </rPr>
          <t xml:space="preserve">
This is a spray rate per square metre.</t>
        </r>
      </text>
    </comment>
    <comment ref="H104" authorId="0" shapeId="0" xr:uid="{47FD4CA3-14ED-4493-B1CD-4C8F145B7C36}">
      <text>
        <r>
          <rPr>
            <b/>
            <sz val="9"/>
            <color indexed="81"/>
            <rFont val="Tahoma"/>
            <family val="2"/>
          </rPr>
          <t>Andrew Otto:</t>
        </r>
        <r>
          <rPr>
            <sz val="9"/>
            <color indexed="81"/>
            <rFont val="Tahoma"/>
            <family val="2"/>
          </rPr>
          <t xml:space="preserve">
This is a spray rate per square metre.</t>
        </r>
      </text>
    </comment>
    <comment ref="H105" authorId="0" shapeId="0" xr:uid="{C1E8AC05-8267-4092-9E02-034641885231}">
      <text>
        <r>
          <rPr>
            <b/>
            <sz val="9"/>
            <color indexed="81"/>
            <rFont val="Tahoma"/>
            <family val="2"/>
          </rPr>
          <t>Andrew Otto:</t>
        </r>
        <r>
          <rPr>
            <sz val="9"/>
            <color indexed="81"/>
            <rFont val="Tahoma"/>
            <family val="2"/>
          </rPr>
          <t xml:space="preserve">
This is a spray rate per square metre.</t>
        </r>
      </text>
    </comment>
    <comment ref="I108" authorId="0" shapeId="0" xr:uid="{EA3FE444-D382-4CCF-AC76-561004AEC989}">
      <text>
        <r>
          <rPr>
            <b/>
            <sz val="9"/>
            <color indexed="81"/>
            <rFont val="Tahoma"/>
            <family val="2"/>
          </rPr>
          <t>Andrew Otto:</t>
        </r>
        <r>
          <rPr>
            <sz val="9"/>
            <color indexed="81"/>
            <rFont val="Tahoma"/>
            <family val="2"/>
          </rPr>
          <t xml:space="preserve">
If Ground clearing is to be undertaken then insert quantity in hectares here.</t>
        </r>
      </text>
    </comment>
    <comment ref="F110" authorId="0" shapeId="0" xr:uid="{B1D6A93E-E669-4A19-AB3B-EB625309F225}">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11" authorId="0" shapeId="0" xr:uid="{32906BF7-85D0-42C6-BF79-2E9ED77079A5}">
      <text>
        <r>
          <rPr>
            <b/>
            <sz val="9"/>
            <color indexed="81"/>
            <rFont val="Tahoma"/>
            <family val="2"/>
          </rPr>
          <t>Andrew Otto:</t>
        </r>
        <r>
          <rPr>
            <sz val="9"/>
            <color indexed="81"/>
            <rFont val="Tahoma"/>
            <family val="2"/>
          </rPr>
          <t xml:space="preserve">
If Rockfill is to be used, then insert quantity in tonnes here.</t>
        </r>
      </text>
    </comment>
    <comment ref="I120" authorId="0" shapeId="0" xr:uid="{ACEA20CC-F25A-46F1-AFC0-8DC206CF49AA}">
      <text>
        <r>
          <rPr>
            <b/>
            <sz val="9"/>
            <color indexed="81"/>
            <rFont val="Tahoma"/>
            <family val="2"/>
          </rPr>
          <t>Andrew Otto:</t>
        </r>
        <r>
          <rPr>
            <sz val="9"/>
            <color indexed="81"/>
            <rFont val="Tahoma"/>
            <family val="2"/>
          </rPr>
          <t xml:space="preserve">
This is the area in square metres.</t>
        </r>
      </text>
    </comment>
    <comment ref="I122" authorId="0" shapeId="0" xr:uid="{09AC5A63-96DA-4D76-BE74-11A9A7AE5335}">
      <text>
        <r>
          <rPr>
            <b/>
            <sz val="9"/>
            <color indexed="81"/>
            <rFont val="Tahoma"/>
            <family val="2"/>
          </rPr>
          <t>Andrew Otto:</t>
        </r>
        <r>
          <rPr>
            <sz val="9"/>
            <color indexed="81"/>
            <rFont val="Tahoma"/>
            <family val="2"/>
          </rPr>
          <t xml:space="preserve">
This is the area in square metres.</t>
        </r>
      </text>
    </comment>
    <comment ref="H123" authorId="0" shapeId="0" xr:uid="{21DD7557-4901-4B78-B4CC-52D938D9BC60}">
      <text>
        <r>
          <rPr>
            <b/>
            <sz val="9"/>
            <color indexed="81"/>
            <rFont val="Tahoma"/>
            <family val="2"/>
          </rPr>
          <t>Andrew Otto:</t>
        </r>
        <r>
          <rPr>
            <sz val="9"/>
            <color indexed="81"/>
            <rFont val="Tahoma"/>
            <family val="2"/>
          </rPr>
          <t xml:space="preserve">
This is a spray rate per square metre.</t>
        </r>
      </text>
    </comment>
    <comment ref="H124" authorId="0" shapeId="0" xr:uid="{971FA048-8A18-44F6-9321-7E9425B3E39B}">
      <text>
        <r>
          <rPr>
            <b/>
            <sz val="9"/>
            <color indexed="81"/>
            <rFont val="Tahoma"/>
            <family val="2"/>
          </rPr>
          <t>Andrew Otto:</t>
        </r>
        <r>
          <rPr>
            <sz val="9"/>
            <color indexed="81"/>
            <rFont val="Tahoma"/>
            <family val="2"/>
          </rPr>
          <t xml:space="preserve">
This is a spray rate per square metre.</t>
        </r>
      </text>
    </comment>
    <comment ref="H125" authorId="0" shapeId="0" xr:uid="{848BD490-0219-49B8-AF84-F481CD6A269B}">
      <text>
        <r>
          <rPr>
            <b/>
            <sz val="9"/>
            <color indexed="81"/>
            <rFont val="Tahoma"/>
            <family val="2"/>
          </rPr>
          <t>Andrew Otto:</t>
        </r>
        <r>
          <rPr>
            <sz val="9"/>
            <color indexed="81"/>
            <rFont val="Tahoma"/>
            <family val="2"/>
          </rPr>
          <t xml:space="preserve">
This is a spray rate per square metre.</t>
        </r>
      </text>
    </comment>
    <comment ref="I132" authorId="0" shapeId="0" xr:uid="{F74F0049-9FE2-4D32-85DC-7306C7375E67}">
      <text>
        <r>
          <rPr>
            <b/>
            <sz val="9"/>
            <color indexed="81"/>
            <rFont val="Tahoma"/>
            <family val="2"/>
          </rPr>
          <t>Andrew Otto:</t>
        </r>
        <r>
          <rPr>
            <sz val="9"/>
            <color indexed="81"/>
            <rFont val="Tahoma"/>
            <family val="2"/>
          </rPr>
          <t xml:space="preserve">
If Ground clearing is to be undertaken then insert quantity in hectares here.</t>
        </r>
      </text>
    </comment>
    <comment ref="F134" authorId="0" shapeId="0" xr:uid="{5D9226CF-26A3-4998-ADC0-3D41ECC40688}">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35" authorId="0" shapeId="0" xr:uid="{FE949477-37CD-468C-87B3-35D6168C04E1}">
      <text>
        <r>
          <rPr>
            <b/>
            <sz val="9"/>
            <color indexed="81"/>
            <rFont val="Tahoma"/>
            <family val="2"/>
          </rPr>
          <t>Andrew Otto:</t>
        </r>
        <r>
          <rPr>
            <sz val="9"/>
            <color indexed="81"/>
            <rFont val="Tahoma"/>
            <family val="2"/>
          </rPr>
          <t xml:space="preserve">
If Rockfill is to be used, then insert quantity in tonnes here.</t>
        </r>
      </text>
    </comment>
    <comment ref="I144" authorId="0" shapeId="0" xr:uid="{7FF1E494-BFDF-4F87-98CD-CDF9EBDFDA9E}">
      <text>
        <r>
          <rPr>
            <b/>
            <sz val="9"/>
            <color indexed="81"/>
            <rFont val="Tahoma"/>
            <family val="2"/>
          </rPr>
          <t>Andrew Otto:</t>
        </r>
        <r>
          <rPr>
            <sz val="9"/>
            <color indexed="81"/>
            <rFont val="Tahoma"/>
            <family val="2"/>
          </rPr>
          <t xml:space="preserve">
This is the area in square metres.</t>
        </r>
      </text>
    </comment>
    <comment ref="I146" authorId="0" shapeId="0" xr:uid="{84FF0827-E9E6-402C-AFA7-0BD1FF53E75B}">
      <text>
        <r>
          <rPr>
            <b/>
            <sz val="9"/>
            <color indexed="81"/>
            <rFont val="Tahoma"/>
            <family val="2"/>
          </rPr>
          <t>Andrew Otto:</t>
        </r>
        <r>
          <rPr>
            <sz val="9"/>
            <color indexed="81"/>
            <rFont val="Tahoma"/>
            <family val="2"/>
          </rPr>
          <t xml:space="preserve">
This is the area in square metres.</t>
        </r>
      </text>
    </comment>
    <comment ref="H147" authorId="0" shapeId="0" xr:uid="{B06D2005-16DB-4410-87EB-3EEDEF4C3920}">
      <text>
        <r>
          <rPr>
            <b/>
            <sz val="9"/>
            <color indexed="81"/>
            <rFont val="Tahoma"/>
            <family val="2"/>
          </rPr>
          <t>Andrew Otto:</t>
        </r>
        <r>
          <rPr>
            <sz val="9"/>
            <color indexed="81"/>
            <rFont val="Tahoma"/>
            <family val="2"/>
          </rPr>
          <t xml:space="preserve">
This is a spray rate per square metre.</t>
        </r>
      </text>
    </comment>
    <comment ref="H148" authorId="0" shapeId="0" xr:uid="{1B4FA6E8-17D8-4741-AE66-E58CB8166660}">
      <text>
        <r>
          <rPr>
            <b/>
            <sz val="9"/>
            <color indexed="81"/>
            <rFont val="Tahoma"/>
            <family val="2"/>
          </rPr>
          <t>Andrew Otto:</t>
        </r>
        <r>
          <rPr>
            <sz val="9"/>
            <color indexed="81"/>
            <rFont val="Tahoma"/>
            <family val="2"/>
          </rPr>
          <t xml:space="preserve">
This is a spray rate per square metre.</t>
        </r>
      </text>
    </comment>
    <comment ref="H149" authorId="0" shapeId="0" xr:uid="{86FAC98D-2248-4093-8426-44C1442A2BD5}">
      <text>
        <r>
          <rPr>
            <b/>
            <sz val="9"/>
            <color indexed="81"/>
            <rFont val="Tahoma"/>
            <family val="2"/>
          </rPr>
          <t>Andrew Otto:</t>
        </r>
        <r>
          <rPr>
            <sz val="9"/>
            <color indexed="81"/>
            <rFont val="Tahoma"/>
            <family val="2"/>
          </rPr>
          <t xml:space="preserve">
This is a spray rate per square metre.</t>
        </r>
      </text>
    </comment>
    <comment ref="I152" authorId="0" shapeId="0" xr:uid="{F3C9120E-8539-4641-82B2-CE42ED73575F}">
      <text>
        <r>
          <rPr>
            <b/>
            <sz val="9"/>
            <color indexed="81"/>
            <rFont val="Tahoma"/>
            <family val="2"/>
          </rPr>
          <t>Andrew Otto:</t>
        </r>
        <r>
          <rPr>
            <sz val="9"/>
            <color indexed="81"/>
            <rFont val="Tahoma"/>
            <family val="2"/>
          </rPr>
          <t xml:space="preserve">
If Ground clearing is to be undertaken then insert quantity in hectares here.</t>
        </r>
      </text>
    </comment>
    <comment ref="F154" authorId="0" shapeId="0" xr:uid="{18D8A92C-4E85-4E85-B440-BCEE366A903A}">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55" authorId="0" shapeId="0" xr:uid="{A907AA85-9CB3-441D-93BF-23B79F4FCF3C}">
      <text>
        <r>
          <rPr>
            <b/>
            <sz val="9"/>
            <color indexed="81"/>
            <rFont val="Tahoma"/>
            <family val="2"/>
          </rPr>
          <t>Andrew Otto:</t>
        </r>
        <r>
          <rPr>
            <sz val="9"/>
            <color indexed="81"/>
            <rFont val="Tahoma"/>
            <family val="2"/>
          </rPr>
          <t xml:space="preserve">
If Rockfill is to be used, then insert quantity in tonnes here.</t>
        </r>
      </text>
    </comment>
    <comment ref="I164" authorId="0" shapeId="0" xr:uid="{8399E321-875E-49EC-AF4F-36B47C0975A3}">
      <text>
        <r>
          <rPr>
            <b/>
            <sz val="9"/>
            <color indexed="81"/>
            <rFont val="Tahoma"/>
            <family val="2"/>
          </rPr>
          <t>Andrew Otto:</t>
        </r>
        <r>
          <rPr>
            <sz val="9"/>
            <color indexed="81"/>
            <rFont val="Tahoma"/>
            <family val="2"/>
          </rPr>
          <t xml:space="preserve">
This is the area in square metres.</t>
        </r>
      </text>
    </comment>
    <comment ref="I166" authorId="0" shapeId="0" xr:uid="{0B74D8B6-5282-499E-855D-5E8D69807D35}">
      <text>
        <r>
          <rPr>
            <b/>
            <sz val="9"/>
            <color indexed="81"/>
            <rFont val="Tahoma"/>
            <family val="2"/>
          </rPr>
          <t>Andrew Otto:</t>
        </r>
        <r>
          <rPr>
            <sz val="9"/>
            <color indexed="81"/>
            <rFont val="Tahoma"/>
            <family val="2"/>
          </rPr>
          <t xml:space="preserve">
This is the area in square metres.</t>
        </r>
      </text>
    </comment>
    <comment ref="H167" authorId="0" shapeId="0" xr:uid="{0A02EB42-803F-4DC7-B772-2FD55F4362DB}">
      <text>
        <r>
          <rPr>
            <b/>
            <sz val="9"/>
            <color indexed="81"/>
            <rFont val="Tahoma"/>
            <family val="2"/>
          </rPr>
          <t>Andrew Otto:</t>
        </r>
        <r>
          <rPr>
            <sz val="9"/>
            <color indexed="81"/>
            <rFont val="Tahoma"/>
            <family val="2"/>
          </rPr>
          <t xml:space="preserve">
This is a spray rate per square metre.</t>
        </r>
      </text>
    </comment>
    <comment ref="H168" authorId="0" shapeId="0" xr:uid="{180A66F6-F017-4D0F-AEF3-CE7E4D96A03A}">
      <text>
        <r>
          <rPr>
            <b/>
            <sz val="9"/>
            <color indexed="81"/>
            <rFont val="Tahoma"/>
            <family val="2"/>
          </rPr>
          <t>Andrew Otto:</t>
        </r>
        <r>
          <rPr>
            <sz val="9"/>
            <color indexed="81"/>
            <rFont val="Tahoma"/>
            <family val="2"/>
          </rPr>
          <t xml:space="preserve">
This is a spray rate per square metre.</t>
        </r>
      </text>
    </comment>
    <comment ref="H169" authorId="0" shapeId="0" xr:uid="{6E16B294-BF8C-42CA-9666-155F3AE7CA08}">
      <text>
        <r>
          <rPr>
            <b/>
            <sz val="9"/>
            <color indexed="81"/>
            <rFont val="Tahoma"/>
            <family val="2"/>
          </rPr>
          <t>Andrew Otto:</t>
        </r>
        <r>
          <rPr>
            <sz val="9"/>
            <color indexed="81"/>
            <rFont val="Tahoma"/>
            <family val="2"/>
          </rPr>
          <t xml:space="preserve">
This is a spray rate per square metre.</t>
        </r>
      </text>
    </comment>
    <comment ref="I172" authorId="0" shapeId="0" xr:uid="{F670A73A-2F37-4B0F-BC6E-A74F1A812CBE}">
      <text>
        <r>
          <rPr>
            <b/>
            <sz val="9"/>
            <color indexed="81"/>
            <rFont val="Tahoma"/>
            <family val="2"/>
          </rPr>
          <t>Andrew Otto:</t>
        </r>
        <r>
          <rPr>
            <sz val="9"/>
            <color indexed="81"/>
            <rFont val="Tahoma"/>
            <family val="2"/>
          </rPr>
          <t xml:space="preserve">
If Ground clearing is to be undertaken then insert quantity in hectares here.</t>
        </r>
      </text>
    </comment>
    <comment ref="F174" authorId="0" shapeId="0" xr:uid="{30868B99-8FEF-40AE-A6A5-A9B100769253}">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75" authorId="0" shapeId="0" xr:uid="{E6E6660A-856A-48AF-8E36-D45A76823033}">
      <text>
        <r>
          <rPr>
            <b/>
            <sz val="9"/>
            <color indexed="81"/>
            <rFont val="Tahoma"/>
            <family val="2"/>
          </rPr>
          <t>Andrew Otto:</t>
        </r>
        <r>
          <rPr>
            <sz val="9"/>
            <color indexed="81"/>
            <rFont val="Tahoma"/>
            <family val="2"/>
          </rPr>
          <t xml:space="preserve">
If Rockfill is to be used, then insert quantity in tonnes here.</t>
        </r>
      </text>
    </comment>
    <comment ref="I184" authorId="0" shapeId="0" xr:uid="{46C97580-45AF-45BF-B75C-6678AF0A8EED}">
      <text>
        <r>
          <rPr>
            <b/>
            <sz val="9"/>
            <color indexed="81"/>
            <rFont val="Tahoma"/>
            <family val="2"/>
          </rPr>
          <t>Andrew Otto:</t>
        </r>
        <r>
          <rPr>
            <sz val="9"/>
            <color indexed="81"/>
            <rFont val="Tahoma"/>
            <family val="2"/>
          </rPr>
          <t xml:space="preserve">
This is the area in square metres.</t>
        </r>
      </text>
    </comment>
    <comment ref="I186" authorId="0" shapeId="0" xr:uid="{6F1ADB9B-B14F-455D-A97F-65B9C73805DA}">
      <text>
        <r>
          <rPr>
            <b/>
            <sz val="9"/>
            <color indexed="81"/>
            <rFont val="Tahoma"/>
            <family val="2"/>
          </rPr>
          <t>Andrew Otto:</t>
        </r>
        <r>
          <rPr>
            <sz val="9"/>
            <color indexed="81"/>
            <rFont val="Tahoma"/>
            <family val="2"/>
          </rPr>
          <t xml:space="preserve">
This is the area in square metres.</t>
        </r>
      </text>
    </comment>
    <comment ref="H187" authorId="0" shapeId="0" xr:uid="{72C8393F-6EE3-4AAA-8234-90407E665EE2}">
      <text>
        <r>
          <rPr>
            <b/>
            <sz val="9"/>
            <color indexed="81"/>
            <rFont val="Tahoma"/>
            <family val="2"/>
          </rPr>
          <t>Andrew Otto:</t>
        </r>
        <r>
          <rPr>
            <sz val="9"/>
            <color indexed="81"/>
            <rFont val="Tahoma"/>
            <family val="2"/>
          </rPr>
          <t xml:space="preserve">
This is a spray rate per square metre.</t>
        </r>
      </text>
    </comment>
    <comment ref="H188" authorId="0" shapeId="0" xr:uid="{4E8BC85A-7A65-43E9-80E0-6923A679151A}">
      <text>
        <r>
          <rPr>
            <b/>
            <sz val="9"/>
            <color indexed="81"/>
            <rFont val="Tahoma"/>
            <family val="2"/>
          </rPr>
          <t>Andrew Otto:</t>
        </r>
        <r>
          <rPr>
            <sz val="9"/>
            <color indexed="81"/>
            <rFont val="Tahoma"/>
            <family val="2"/>
          </rPr>
          <t xml:space="preserve">
This is a spray rate per square metre.</t>
        </r>
      </text>
    </comment>
    <comment ref="H189" authorId="0" shapeId="0" xr:uid="{A90F78D3-B9B2-400F-8ECC-5BD5BC13CC7B}">
      <text>
        <r>
          <rPr>
            <b/>
            <sz val="9"/>
            <color indexed="81"/>
            <rFont val="Tahoma"/>
            <family val="2"/>
          </rPr>
          <t>Andrew Otto:</t>
        </r>
        <r>
          <rPr>
            <sz val="9"/>
            <color indexed="81"/>
            <rFont val="Tahoma"/>
            <family val="2"/>
          </rPr>
          <t xml:space="preserve">
This is a spray rate per square metre.</t>
        </r>
      </text>
    </comment>
    <comment ref="I196" authorId="0" shapeId="0" xr:uid="{02A5FCD4-C8F3-4BAD-A22D-DB30ADB718F0}">
      <text>
        <r>
          <rPr>
            <b/>
            <sz val="9"/>
            <color indexed="81"/>
            <rFont val="Tahoma"/>
            <family val="2"/>
          </rPr>
          <t>Andrew Otto:</t>
        </r>
        <r>
          <rPr>
            <sz val="9"/>
            <color indexed="81"/>
            <rFont val="Tahoma"/>
            <family val="2"/>
          </rPr>
          <t xml:space="preserve">
If Ground clearing is to be undertaken then insert quantity in hectares here.</t>
        </r>
      </text>
    </comment>
    <comment ref="F198" authorId="0" shapeId="0" xr:uid="{A94C412B-D8D9-4184-B2C9-B861542CC00B}">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99" authorId="0" shapeId="0" xr:uid="{F3862E66-B14D-4F3A-A9B5-9F12C551F825}">
      <text>
        <r>
          <rPr>
            <b/>
            <sz val="9"/>
            <color indexed="81"/>
            <rFont val="Tahoma"/>
            <family val="2"/>
          </rPr>
          <t>Andrew Otto:</t>
        </r>
        <r>
          <rPr>
            <sz val="9"/>
            <color indexed="81"/>
            <rFont val="Tahoma"/>
            <family val="2"/>
          </rPr>
          <t xml:space="preserve">
If Rockfill is to be used, then insert quantity in tonnes here.</t>
        </r>
      </text>
    </comment>
    <comment ref="I208" authorId="0" shapeId="0" xr:uid="{BC55411D-FE94-48D4-B717-5ACCDF193E7C}">
      <text>
        <r>
          <rPr>
            <b/>
            <sz val="9"/>
            <color indexed="81"/>
            <rFont val="Tahoma"/>
            <family val="2"/>
          </rPr>
          <t>Andrew Otto:</t>
        </r>
        <r>
          <rPr>
            <sz val="9"/>
            <color indexed="81"/>
            <rFont val="Tahoma"/>
            <family val="2"/>
          </rPr>
          <t xml:space="preserve">
This is the area in square metres.</t>
        </r>
      </text>
    </comment>
    <comment ref="I210" authorId="0" shapeId="0" xr:uid="{14E88285-9810-4231-984F-1CDE5DB20457}">
      <text>
        <r>
          <rPr>
            <b/>
            <sz val="9"/>
            <color indexed="81"/>
            <rFont val="Tahoma"/>
            <family val="2"/>
          </rPr>
          <t>Andrew Otto:</t>
        </r>
        <r>
          <rPr>
            <sz val="9"/>
            <color indexed="81"/>
            <rFont val="Tahoma"/>
            <family val="2"/>
          </rPr>
          <t xml:space="preserve">
This is the area in square metres.</t>
        </r>
      </text>
    </comment>
    <comment ref="H211" authorId="0" shapeId="0" xr:uid="{1168DF47-DBB7-4686-9CF0-85CC3DD45F38}">
      <text>
        <r>
          <rPr>
            <b/>
            <sz val="9"/>
            <color indexed="81"/>
            <rFont val="Tahoma"/>
            <family val="2"/>
          </rPr>
          <t>Andrew Otto:</t>
        </r>
        <r>
          <rPr>
            <sz val="9"/>
            <color indexed="81"/>
            <rFont val="Tahoma"/>
            <family val="2"/>
          </rPr>
          <t xml:space="preserve">
This is a spray rate per square metre.</t>
        </r>
      </text>
    </comment>
    <comment ref="H212" authorId="0" shapeId="0" xr:uid="{CF416CF3-EFEC-45EB-A4CA-215E1F93C928}">
      <text>
        <r>
          <rPr>
            <b/>
            <sz val="9"/>
            <color indexed="81"/>
            <rFont val="Tahoma"/>
            <family val="2"/>
          </rPr>
          <t>Andrew Otto:</t>
        </r>
        <r>
          <rPr>
            <sz val="9"/>
            <color indexed="81"/>
            <rFont val="Tahoma"/>
            <family val="2"/>
          </rPr>
          <t xml:space="preserve">
This is a spray rate per square metre.</t>
        </r>
      </text>
    </comment>
    <comment ref="H213" authorId="0" shapeId="0" xr:uid="{9602DC03-03F4-4216-A727-B9A4236D1F2C}">
      <text>
        <r>
          <rPr>
            <b/>
            <sz val="9"/>
            <color indexed="81"/>
            <rFont val="Tahoma"/>
            <family val="2"/>
          </rPr>
          <t>Andrew Otto:</t>
        </r>
        <r>
          <rPr>
            <sz val="9"/>
            <color indexed="81"/>
            <rFont val="Tahoma"/>
            <family val="2"/>
          </rPr>
          <t xml:space="preserve">
This is a spray rate per square metre.</t>
        </r>
      </text>
    </comment>
    <comment ref="I216" authorId="0" shapeId="0" xr:uid="{08E22CA0-2A22-4FE2-90AC-6370A5C4C502}">
      <text>
        <r>
          <rPr>
            <b/>
            <sz val="9"/>
            <color indexed="81"/>
            <rFont val="Tahoma"/>
            <family val="2"/>
          </rPr>
          <t>Andrew Otto:</t>
        </r>
        <r>
          <rPr>
            <sz val="9"/>
            <color indexed="81"/>
            <rFont val="Tahoma"/>
            <family val="2"/>
          </rPr>
          <t xml:space="preserve">
If Ground clearing is to be undertaken then insert quantity in hectares here.</t>
        </r>
      </text>
    </comment>
    <comment ref="F218" authorId="0" shapeId="0" xr:uid="{DFFA8FA4-E455-4FEC-9577-9EDDA46F74A4}">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19" authorId="0" shapeId="0" xr:uid="{61598A1D-4386-4C92-9614-CF33E8376752}">
      <text>
        <r>
          <rPr>
            <b/>
            <sz val="9"/>
            <color indexed="81"/>
            <rFont val="Tahoma"/>
            <family val="2"/>
          </rPr>
          <t>Andrew Otto:</t>
        </r>
        <r>
          <rPr>
            <sz val="9"/>
            <color indexed="81"/>
            <rFont val="Tahoma"/>
            <family val="2"/>
          </rPr>
          <t xml:space="preserve">
If Rockfill is to be used, then insert quantity in tonnes here.</t>
        </r>
      </text>
    </comment>
    <comment ref="I228" authorId="0" shapeId="0" xr:uid="{DBDBF0A3-66E1-456E-80AB-A9FB950C4EB0}">
      <text>
        <r>
          <rPr>
            <b/>
            <sz val="9"/>
            <color indexed="81"/>
            <rFont val="Tahoma"/>
            <family val="2"/>
          </rPr>
          <t>Andrew Otto:</t>
        </r>
        <r>
          <rPr>
            <sz val="9"/>
            <color indexed="81"/>
            <rFont val="Tahoma"/>
            <family val="2"/>
          </rPr>
          <t xml:space="preserve">
This is the area in square metres.</t>
        </r>
      </text>
    </comment>
    <comment ref="I230" authorId="0" shapeId="0" xr:uid="{A80EC5A9-8424-4421-A703-F25F6E52838D}">
      <text>
        <r>
          <rPr>
            <b/>
            <sz val="9"/>
            <color indexed="81"/>
            <rFont val="Tahoma"/>
            <family val="2"/>
          </rPr>
          <t>Andrew Otto:</t>
        </r>
        <r>
          <rPr>
            <sz val="9"/>
            <color indexed="81"/>
            <rFont val="Tahoma"/>
            <family val="2"/>
          </rPr>
          <t xml:space="preserve">
This is the area in square metres.</t>
        </r>
      </text>
    </comment>
    <comment ref="H231" authorId="0" shapeId="0" xr:uid="{5F0E7CD1-9BE0-47CB-B84F-17F9DE19B82E}">
      <text>
        <r>
          <rPr>
            <b/>
            <sz val="9"/>
            <color indexed="81"/>
            <rFont val="Tahoma"/>
            <family val="2"/>
          </rPr>
          <t>Andrew Otto:</t>
        </r>
        <r>
          <rPr>
            <sz val="9"/>
            <color indexed="81"/>
            <rFont val="Tahoma"/>
            <family val="2"/>
          </rPr>
          <t xml:space="preserve">
This is a spray rate per square metre.</t>
        </r>
      </text>
    </comment>
    <comment ref="H232" authorId="0" shapeId="0" xr:uid="{1EF6CB37-B546-4B12-96CA-C3CDFF93182E}">
      <text>
        <r>
          <rPr>
            <b/>
            <sz val="9"/>
            <color indexed="81"/>
            <rFont val="Tahoma"/>
            <family val="2"/>
          </rPr>
          <t>Andrew Otto:</t>
        </r>
        <r>
          <rPr>
            <sz val="9"/>
            <color indexed="81"/>
            <rFont val="Tahoma"/>
            <family val="2"/>
          </rPr>
          <t xml:space="preserve">
This is a spray rate per square metre.</t>
        </r>
      </text>
    </comment>
    <comment ref="H233" authorId="0" shapeId="0" xr:uid="{9AE5915B-3646-43DE-8B55-B9409248F12E}">
      <text>
        <r>
          <rPr>
            <b/>
            <sz val="9"/>
            <color indexed="81"/>
            <rFont val="Tahoma"/>
            <family val="2"/>
          </rPr>
          <t>Andrew Otto:</t>
        </r>
        <r>
          <rPr>
            <sz val="9"/>
            <color indexed="81"/>
            <rFont val="Tahoma"/>
            <family val="2"/>
          </rPr>
          <t xml:space="preserve">
This is a spray rate per square metre.</t>
        </r>
      </text>
    </comment>
    <comment ref="I236" authorId="0" shapeId="0" xr:uid="{CED47E99-45DC-4A56-B17D-ABE6AD0ACBFA}">
      <text>
        <r>
          <rPr>
            <b/>
            <sz val="9"/>
            <color indexed="81"/>
            <rFont val="Tahoma"/>
            <family val="2"/>
          </rPr>
          <t>Andrew Otto:</t>
        </r>
        <r>
          <rPr>
            <sz val="9"/>
            <color indexed="81"/>
            <rFont val="Tahoma"/>
            <family val="2"/>
          </rPr>
          <t xml:space="preserve">
If Ground clearing is to be undertaken then insert quantity in hectares here.</t>
        </r>
      </text>
    </comment>
    <comment ref="F238" authorId="0" shapeId="0" xr:uid="{D5B3F9DD-EE10-4F4C-8693-FAACDBEF37A8}">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39" authorId="0" shapeId="0" xr:uid="{C1F84E38-C036-4038-B770-08B05E4207A9}">
      <text>
        <r>
          <rPr>
            <b/>
            <sz val="9"/>
            <color indexed="81"/>
            <rFont val="Tahoma"/>
            <family val="2"/>
          </rPr>
          <t>Andrew Otto:</t>
        </r>
        <r>
          <rPr>
            <sz val="9"/>
            <color indexed="81"/>
            <rFont val="Tahoma"/>
            <family val="2"/>
          </rPr>
          <t xml:space="preserve">
If Rockfill is to be used, then insert quantity in tonnes here.</t>
        </r>
      </text>
    </comment>
    <comment ref="I248" authorId="0" shapeId="0" xr:uid="{154DC247-FEF4-4FE3-BF06-8F9B4D67B475}">
      <text>
        <r>
          <rPr>
            <b/>
            <sz val="9"/>
            <color indexed="81"/>
            <rFont val="Tahoma"/>
            <family val="2"/>
          </rPr>
          <t>Andrew Otto:</t>
        </r>
        <r>
          <rPr>
            <sz val="9"/>
            <color indexed="81"/>
            <rFont val="Tahoma"/>
            <family val="2"/>
          </rPr>
          <t xml:space="preserve">
This is the area in square metres.</t>
        </r>
      </text>
    </comment>
    <comment ref="I250" authorId="0" shapeId="0" xr:uid="{824EF6C0-D500-4309-8402-45955704D715}">
      <text>
        <r>
          <rPr>
            <b/>
            <sz val="9"/>
            <color indexed="81"/>
            <rFont val="Tahoma"/>
            <family val="2"/>
          </rPr>
          <t>Andrew Otto:</t>
        </r>
        <r>
          <rPr>
            <sz val="9"/>
            <color indexed="81"/>
            <rFont val="Tahoma"/>
            <family val="2"/>
          </rPr>
          <t xml:space="preserve">
This is the area in square metres.</t>
        </r>
      </text>
    </comment>
    <comment ref="H251" authorId="0" shapeId="0" xr:uid="{ECE26EA3-ED66-42BC-B7D0-E48D26FAB591}">
      <text>
        <r>
          <rPr>
            <b/>
            <sz val="9"/>
            <color indexed="81"/>
            <rFont val="Tahoma"/>
            <family val="2"/>
          </rPr>
          <t>Andrew Otto:</t>
        </r>
        <r>
          <rPr>
            <sz val="9"/>
            <color indexed="81"/>
            <rFont val="Tahoma"/>
            <family val="2"/>
          </rPr>
          <t xml:space="preserve">
This is a spray rate per square metre.</t>
        </r>
      </text>
    </comment>
    <comment ref="H252" authorId="0" shapeId="0" xr:uid="{1B0E1DAB-B1B0-49CA-B2AE-76472563477E}">
      <text>
        <r>
          <rPr>
            <b/>
            <sz val="9"/>
            <color indexed="81"/>
            <rFont val="Tahoma"/>
            <family val="2"/>
          </rPr>
          <t>Andrew Otto:</t>
        </r>
        <r>
          <rPr>
            <sz val="9"/>
            <color indexed="81"/>
            <rFont val="Tahoma"/>
            <family val="2"/>
          </rPr>
          <t xml:space="preserve">
This is a spray rate per square metre.</t>
        </r>
      </text>
    </comment>
    <comment ref="H253" authorId="0" shapeId="0" xr:uid="{B49CF2BA-79DB-4D54-8330-852DD77EBFA4}">
      <text>
        <r>
          <rPr>
            <b/>
            <sz val="9"/>
            <color indexed="81"/>
            <rFont val="Tahoma"/>
            <family val="2"/>
          </rPr>
          <t>Andrew Otto:</t>
        </r>
        <r>
          <rPr>
            <sz val="9"/>
            <color indexed="81"/>
            <rFont val="Tahoma"/>
            <family val="2"/>
          </rPr>
          <t xml:space="preserve">
This is a spray rate per square metre.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I4" authorId="0" shapeId="0" xr:uid="{A6FE16CF-C7D3-48AC-A91B-D4C0BFD55D2B}">
      <text>
        <r>
          <rPr>
            <b/>
            <sz val="9"/>
            <color indexed="81"/>
            <rFont val="Tahoma"/>
            <family val="2"/>
          </rPr>
          <t>Andrew Otto:</t>
        </r>
        <r>
          <rPr>
            <sz val="9"/>
            <color indexed="81"/>
            <rFont val="Tahoma"/>
            <family val="2"/>
          </rPr>
          <t xml:space="preserve">
If Ground clearing is to be undertaken then insert quantity in hectares here.</t>
        </r>
      </text>
    </comment>
    <comment ref="F6" authorId="0" shapeId="0" xr:uid="{598537DD-728F-421E-AF70-4B65CC132E6C}">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7" authorId="0" shapeId="0" xr:uid="{E60F7E8C-D917-45F0-A438-EC29F75EFFBE}">
      <text>
        <r>
          <rPr>
            <b/>
            <sz val="9"/>
            <color indexed="81"/>
            <rFont val="Tahoma"/>
            <family val="2"/>
          </rPr>
          <t>Andrew Otto:</t>
        </r>
        <r>
          <rPr>
            <sz val="9"/>
            <color indexed="81"/>
            <rFont val="Tahoma"/>
            <family val="2"/>
          </rPr>
          <t xml:space="preserve">
If Rockfill is to be used, then insert quantity in tonnes here.</t>
        </r>
      </text>
    </comment>
    <comment ref="I16" authorId="0" shapeId="0" xr:uid="{9EAA6691-B5C8-4D4F-8CDC-877B5DBCD648}">
      <text>
        <r>
          <rPr>
            <b/>
            <sz val="9"/>
            <color indexed="81"/>
            <rFont val="Tahoma"/>
            <family val="2"/>
          </rPr>
          <t>Andrew Otto:</t>
        </r>
        <r>
          <rPr>
            <sz val="9"/>
            <color indexed="81"/>
            <rFont val="Tahoma"/>
            <family val="2"/>
          </rPr>
          <t xml:space="preserve">
This is the area in square metres.</t>
        </r>
      </text>
    </comment>
    <comment ref="I18" authorId="0" shapeId="0" xr:uid="{E39A25E8-D906-4673-A3A2-40448EEB0445}">
      <text>
        <r>
          <rPr>
            <b/>
            <sz val="9"/>
            <color indexed="81"/>
            <rFont val="Tahoma"/>
            <family val="2"/>
          </rPr>
          <t>Andrew Otto:</t>
        </r>
        <r>
          <rPr>
            <sz val="9"/>
            <color indexed="81"/>
            <rFont val="Tahoma"/>
            <family val="2"/>
          </rPr>
          <t xml:space="preserve">
This is the area in square metres.</t>
        </r>
      </text>
    </comment>
    <comment ref="H19" authorId="0" shapeId="0" xr:uid="{0F675619-90A4-4F89-B7CE-43BF2F359FA8}">
      <text>
        <r>
          <rPr>
            <b/>
            <sz val="9"/>
            <color indexed="81"/>
            <rFont val="Tahoma"/>
            <family val="2"/>
          </rPr>
          <t>Andrew Otto:</t>
        </r>
        <r>
          <rPr>
            <sz val="9"/>
            <color indexed="81"/>
            <rFont val="Tahoma"/>
            <family val="2"/>
          </rPr>
          <t xml:space="preserve">
This is a spray rate per square metre.</t>
        </r>
      </text>
    </comment>
    <comment ref="H20" authorId="0" shapeId="0" xr:uid="{C4C11B8C-7A30-4643-A5EF-C559A8E4926E}">
      <text>
        <r>
          <rPr>
            <b/>
            <sz val="9"/>
            <color indexed="81"/>
            <rFont val="Tahoma"/>
            <family val="2"/>
          </rPr>
          <t>Andrew Otto:</t>
        </r>
        <r>
          <rPr>
            <sz val="9"/>
            <color indexed="81"/>
            <rFont val="Tahoma"/>
            <family val="2"/>
          </rPr>
          <t xml:space="preserve">
This is a spray rate per square metre.</t>
        </r>
      </text>
    </comment>
    <comment ref="H21" authorId="0" shapeId="0" xr:uid="{5EEC1292-DAAF-4BC7-A263-40E5BE626612}">
      <text>
        <r>
          <rPr>
            <b/>
            <sz val="9"/>
            <color indexed="81"/>
            <rFont val="Tahoma"/>
            <family val="2"/>
          </rPr>
          <t>Andrew Otto:</t>
        </r>
        <r>
          <rPr>
            <sz val="9"/>
            <color indexed="81"/>
            <rFont val="Tahoma"/>
            <family val="2"/>
          </rPr>
          <t xml:space="preserve">
This is a spray rate per square metre.</t>
        </r>
      </text>
    </comment>
    <comment ref="I24" authorId="0" shapeId="0" xr:uid="{14B9911D-D1AD-4F6A-A6E8-9E64300B412F}">
      <text>
        <r>
          <rPr>
            <b/>
            <sz val="9"/>
            <color indexed="81"/>
            <rFont val="Tahoma"/>
            <family val="2"/>
          </rPr>
          <t>Andrew Otto:</t>
        </r>
        <r>
          <rPr>
            <sz val="9"/>
            <color indexed="81"/>
            <rFont val="Tahoma"/>
            <family val="2"/>
          </rPr>
          <t xml:space="preserve">
If Ground clearing is to be undertaken then insert quantity in hectares here.</t>
        </r>
      </text>
    </comment>
    <comment ref="F26" authorId="0" shapeId="0" xr:uid="{1BC2EB08-529E-4BFB-9054-2927F1479C22}">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7" authorId="0" shapeId="0" xr:uid="{1A56C37F-C8EF-4F69-9E63-5B78FE7890C4}">
      <text>
        <r>
          <rPr>
            <b/>
            <sz val="9"/>
            <color indexed="81"/>
            <rFont val="Tahoma"/>
            <family val="2"/>
          </rPr>
          <t>Andrew Otto:</t>
        </r>
        <r>
          <rPr>
            <sz val="9"/>
            <color indexed="81"/>
            <rFont val="Tahoma"/>
            <family val="2"/>
          </rPr>
          <t xml:space="preserve">
If Rockfill is to be used, then insert quantity in tonnes here.</t>
        </r>
      </text>
    </comment>
    <comment ref="I36" authorId="0" shapeId="0" xr:uid="{ADE19A5B-32D9-4BAB-9587-8C0F43E728EF}">
      <text>
        <r>
          <rPr>
            <b/>
            <sz val="9"/>
            <color indexed="81"/>
            <rFont val="Tahoma"/>
            <family val="2"/>
          </rPr>
          <t>Andrew Otto:</t>
        </r>
        <r>
          <rPr>
            <sz val="9"/>
            <color indexed="81"/>
            <rFont val="Tahoma"/>
            <family val="2"/>
          </rPr>
          <t xml:space="preserve">
This is the area in square metres.</t>
        </r>
      </text>
    </comment>
    <comment ref="I38" authorId="0" shapeId="0" xr:uid="{7F4AC7F5-D70B-4E76-92FD-EDC2B195A5C1}">
      <text>
        <r>
          <rPr>
            <b/>
            <sz val="9"/>
            <color indexed="81"/>
            <rFont val="Tahoma"/>
            <family val="2"/>
          </rPr>
          <t>Andrew Otto:</t>
        </r>
        <r>
          <rPr>
            <sz val="9"/>
            <color indexed="81"/>
            <rFont val="Tahoma"/>
            <family val="2"/>
          </rPr>
          <t xml:space="preserve">
This is the area in square metres.</t>
        </r>
      </text>
    </comment>
    <comment ref="H39" authorId="0" shapeId="0" xr:uid="{AA96986A-B298-494E-B0B5-EAA4A485829A}">
      <text>
        <r>
          <rPr>
            <b/>
            <sz val="9"/>
            <color indexed="81"/>
            <rFont val="Tahoma"/>
            <family val="2"/>
          </rPr>
          <t>Andrew Otto:</t>
        </r>
        <r>
          <rPr>
            <sz val="9"/>
            <color indexed="81"/>
            <rFont val="Tahoma"/>
            <family val="2"/>
          </rPr>
          <t xml:space="preserve">
This is a spray rate per square metre.</t>
        </r>
      </text>
    </comment>
    <comment ref="H40" authorId="0" shapeId="0" xr:uid="{F6A973C5-E62B-40E6-A9F1-7F8B6D9C73D0}">
      <text>
        <r>
          <rPr>
            <b/>
            <sz val="9"/>
            <color indexed="81"/>
            <rFont val="Tahoma"/>
            <family val="2"/>
          </rPr>
          <t>Andrew Otto:</t>
        </r>
        <r>
          <rPr>
            <sz val="9"/>
            <color indexed="81"/>
            <rFont val="Tahoma"/>
            <family val="2"/>
          </rPr>
          <t xml:space="preserve">
This is a spray rate per square metre.</t>
        </r>
      </text>
    </comment>
    <comment ref="H41" authorId="0" shapeId="0" xr:uid="{DECC1568-0D07-4319-B05D-6523C54DDFDC}">
      <text>
        <r>
          <rPr>
            <b/>
            <sz val="9"/>
            <color indexed="81"/>
            <rFont val="Tahoma"/>
            <family val="2"/>
          </rPr>
          <t>Andrew Otto:</t>
        </r>
        <r>
          <rPr>
            <sz val="9"/>
            <color indexed="81"/>
            <rFont val="Tahoma"/>
            <family val="2"/>
          </rPr>
          <t xml:space="preserve">
This is a spray rate per square metre.</t>
        </r>
      </text>
    </comment>
    <comment ref="I44" authorId="0" shapeId="0" xr:uid="{842ACBD0-070D-4F14-A666-2A39BB5767D4}">
      <text>
        <r>
          <rPr>
            <b/>
            <sz val="9"/>
            <color indexed="81"/>
            <rFont val="Tahoma"/>
            <family val="2"/>
          </rPr>
          <t>Andrew Otto:</t>
        </r>
        <r>
          <rPr>
            <sz val="9"/>
            <color indexed="81"/>
            <rFont val="Tahoma"/>
            <family val="2"/>
          </rPr>
          <t xml:space="preserve">
If Ground clearing is to be undertaken then insert quantity in hectares here.</t>
        </r>
      </text>
    </comment>
    <comment ref="F46" authorId="0" shapeId="0" xr:uid="{83311335-8151-4D29-BC4E-8AD98C5DC912}">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47" authorId="0" shapeId="0" xr:uid="{FCC6CA73-6CF3-4DF0-A5FE-9A91D4C8B758}">
      <text>
        <r>
          <rPr>
            <b/>
            <sz val="9"/>
            <color indexed="81"/>
            <rFont val="Tahoma"/>
            <family val="2"/>
          </rPr>
          <t>Andrew Otto:</t>
        </r>
        <r>
          <rPr>
            <sz val="9"/>
            <color indexed="81"/>
            <rFont val="Tahoma"/>
            <family val="2"/>
          </rPr>
          <t xml:space="preserve">
If Rockfill is to be used, then insert quantity in tonnes here.</t>
        </r>
      </text>
    </comment>
    <comment ref="I56" authorId="0" shapeId="0" xr:uid="{63712BE7-97CE-4F71-A708-0703316662E8}">
      <text>
        <r>
          <rPr>
            <b/>
            <sz val="9"/>
            <color indexed="81"/>
            <rFont val="Tahoma"/>
            <family val="2"/>
          </rPr>
          <t>Andrew Otto:</t>
        </r>
        <r>
          <rPr>
            <sz val="9"/>
            <color indexed="81"/>
            <rFont val="Tahoma"/>
            <family val="2"/>
          </rPr>
          <t xml:space="preserve">
This is the area in square metres.</t>
        </r>
      </text>
    </comment>
    <comment ref="I58" authorId="0" shapeId="0" xr:uid="{42BBF970-3633-4C96-A998-F060AEF84331}">
      <text>
        <r>
          <rPr>
            <b/>
            <sz val="9"/>
            <color indexed="81"/>
            <rFont val="Tahoma"/>
            <family val="2"/>
          </rPr>
          <t>Andrew Otto:</t>
        </r>
        <r>
          <rPr>
            <sz val="9"/>
            <color indexed="81"/>
            <rFont val="Tahoma"/>
            <family val="2"/>
          </rPr>
          <t xml:space="preserve">
This is the area in square metres.</t>
        </r>
      </text>
    </comment>
    <comment ref="H59" authorId="0" shapeId="0" xr:uid="{6F37438E-A6F5-4561-9E6A-6476DEE3C86C}">
      <text>
        <r>
          <rPr>
            <b/>
            <sz val="9"/>
            <color indexed="81"/>
            <rFont val="Tahoma"/>
            <family val="2"/>
          </rPr>
          <t>Andrew Otto:</t>
        </r>
        <r>
          <rPr>
            <sz val="9"/>
            <color indexed="81"/>
            <rFont val="Tahoma"/>
            <family val="2"/>
          </rPr>
          <t xml:space="preserve">
This is a spray rate per square metre.</t>
        </r>
      </text>
    </comment>
    <comment ref="H60" authorId="0" shapeId="0" xr:uid="{34346991-DED5-41FC-A44B-5E53702D7746}">
      <text>
        <r>
          <rPr>
            <b/>
            <sz val="9"/>
            <color indexed="81"/>
            <rFont val="Tahoma"/>
            <family val="2"/>
          </rPr>
          <t>Andrew Otto:</t>
        </r>
        <r>
          <rPr>
            <sz val="9"/>
            <color indexed="81"/>
            <rFont val="Tahoma"/>
            <family val="2"/>
          </rPr>
          <t xml:space="preserve">
This is a spray rate per square metre.</t>
        </r>
      </text>
    </comment>
    <comment ref="H61" authorId="0" shapeId="0" xr:uid="{57C7F808-7A9E-491C-905F-A3EC8F283289}">
      <text>
        <r>
          <rPr>
            <b/>
            <sz val="9"/>
            <color indexed="81"/>
            <rFont val="Tahoma"/>
            <family val="2"/>
          </rPr>
          <t>Andrew Otto:</t>
        </r>
        <r>
          <rPr>
            <sz val="9"/>
            <color indexed="81"/>
            <rFont val="Tahoma"/>
            <family val="2"/>
          </rPr>
          <t xml:space="preserve">
This is a spray rate per square metre.</t>
        </r>
      </text>
    </comment>
    <comment ref="I68" authorId="0" shapeId="0" xr:uid="{72ECEB02-906A-4D5E-A5F9-1CA1F9308D8A}">
      <text>
        <r>
          <rPr>
            <b/>
            <sz val="9"/>
            <color indexed="81"/>
            <rFont val="Tahoma"/>
            <family val="2"/>
          </rPr>
          <t>Andrew Otto:</t>
        </r>
        <r>
          <rPr>
            <sz val="9"/>
            <color indexed="81"/>
            <rFont val="Tahoma"/>
            <family val="2"/>
          </rPr>
          <t xml:space="preserve">
If Ground clearing is to be undertaken then insert quantity in hectares here.</t>
        </r>
      </text>
    </comment>
    <comment ref="F70" authorId="0" shapeId="0" xr:uid="{43E02D91-6388-45D2-8949-36FEAB3AA455}">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71" authorId="0" shapeId="0" xr:uid="{AFFF75BA-AC7D-41A3-8969-87660BF6F618}">
      <text>
        <r>
          <rPr>
            <b/>
            <sz val="9"/>
            <color indexed="81"/>
            <rFont val="Tahoma"/>
            <family val="2"/>
          </rPr>
          <t>Andrew Otto:</t>
        </r>
        <r>
          <rPr>
            <sz val="9"/>
            <color indexed="81"/>
            <rFont val="Tahoma"/>
            <family val="2"/>
          </rPr>
          <t xml:space="preserve">
If Rockfill is to be used, then insert quantity in tonnes here.</t>
        </r>
      </text>
    </comment>
    <comment ref="I80" authorId="0" shapeId="0" xr:uid="{9D30D4B2-CD53-4E87-B52F-603EC3C2933C}">
      <text>
        <r>
          <rPr>
            <b/>
            <sz val="9"/>
            <color indexed="81"/>
            <rFont val="Tahoma"/>
            <family val="2"/>
          </rPr>
          <t>Andrew Otto:</t>
        </r>
        <r>
          <rPr>
            <sz val="9"/>
            <color indexed="81"/>
            <rFont val="Tahoma"/>
            <family val="2"/>
          </rPr>
          <t xml:space="preserve">
This is the area in square metres.</t>
        </r>
      </text>
    </comment>
    <comment ref="I82" authorId="0" shapeId="0" xr:uid="{16EFBE8D-E4AD-4139-B7B8-6972D3E30F9C}">
      <text>
        <r>
          <rPr>
            <b/>
            <sz val="9"/>
            <color indexed="81"/>
            <rFont val="Tahoma"/>
            <family val="2"/>
          </rPr>
          <t>Andrew Otto:</t>
        </r>
        <r>
          <rPr>
            <sz val="9"/>
            <color indexed="81"/>
            <rFont val="Tahoma"/>
            <family val="2"/>
          </rPr>
          <t xml:space="preserve">
This is the area in square metres.</t>
        </r>
      </text>
    </comment>
    <comment ref="H83" authorId="0" shapeId="0" xr:uid="{6262B7E2-155E-411F-9871-943DB60DEAC4}">
      <text>
        <r>
          <rPr>
            <b/>
            <sz val="9"/>
            <color indexed="81"/>
            <rFont val="Tahoma"/>
            <family val="2"/>
          </rPr>
          <t>Andrew Otto:</t>
        </r>
        <r>
          <rPr>
            <sz val="9"/>
            <color indexed="81"/>
            <rFont val="Tahoma"/>
            <family val="2"/>
          </rPr>
          <t xml:space="preserve">
This is a spray rate per square metre.</t>
        </r>
      </text>
    </comment>
    <comment ref="H84" authorId="0" shapeId="0" xr:uid="{EDB06B44-59CE-4F8E-9361-EBDC44094821}">
      <text>
        <r>
          <rPr>
            <b/>
            <sz val="9"/>
            <color indexed="81"/>
            <rFont val="Tahoma"/>
            <family val="2"/>
          </rPr>
          <t>Andrew Otto:</t>
        </r>
        <r>
          <rPr>
            <sz val="9"/>
            <color indexed="81"/>
            <rFont val="Tahoma"/>
            <family val="2"/>
          </rPr>
          <t xml:space="preserve">
This is a spray rate per square metre.</t>
        </r>
      </text>
    </comment>
    <comment ref="H85" authorId="0" shapeId="0" xr:uid="{0E3C4E4B-1F0C-4BB0-8CE8-841FA915D271}">
      <text>
        <r>
          <rPr>
            <b/>
            <sz val="9"/>
            <color indexed="81"/>
            <rFont val="Tahoma"/>
            <family val="2"/>
          </rPr>
          <t>Andrew Otto:</t>
        </r>
        <r>
          <rPr>
            <sz val="9"/>
            <color indexed="81"/>
            <rFont val="Tahoma"/>
            <family val="2"/>
          </rPr>
          <t xml:space="preserve">
This is a spray rate per square metre.</t>
        </r>
      </text>
    </comment>
    <comment ref="I88" authorId="0" shapeId="0" xr:uid="{92A06A6A-326D-48E7-8376-319A98F10063}">
      <text>
        <r>
          <rPr>
            <b/>
            <sz val="9"/>
            <color indexed="81"/>
            <rFont val="Tahoma"/>
            <family val="2"/>
          </rPr>
          <t>Andrew Otto:</t>
        </r>
        <r>
          <rPr>
            <sz val="9"/>
            <color indexed="81"/>
            <rFont val="Tahoma"/>
            <family val="2"/>
          </rPr>
          <t xml:space="preserve">
If Ground clearing is to be undertaken then insert quantity in hectares here.</t>
        </r>
      </text>
    </comment>
    <comment ref="F90" authorId="0" shapeId="0" xr:uid="{BFB1EFAF-6CF4-4EDF-A8DD-2496AFD75335}">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91" authorId="0" shapeId="0" xr:uid="{6FAAC982-4C73-42F0-8FD5-A282757E4C72}">
      <text>
        <r>
          <rPr>
            <b/>
            <sz val="9"/>
            <color indexed="81"/>
            <rFont val="Tahoma"/>
            <family val="2"/>
          </rPr>
          <t>Andrew Otto:</t>
        </r>
        <r>
          <rPr>
            <sz val="9"/>
            <color indexed="81"/>
            <rFont val="Tahoma"/>
            <family val="2"/>
          </rPr>
          <t xml:space="preserve">
If Rockfill is to be used, then insert quantity in tonnes here.</t>
        </r>
      </text>
    </comment>
    <comment ref="I100" authorId="0" shapeId="0" xr:uid="{FCFDE6F7-F034-4D8F-9F29-08E3A02DDF33}">
      <text>
        <r>
          <rPr>
            <b/>
            <sz val="9"/>
            <color indexed="81"/>
            <rFont val="Tahoma"/>
            <family val="2"/>
          </rPr>
          <t>Andrew Otto:</t>
        </r>
        <r>
          <rPr>
            <sz val="9"/>
            <color indexed="81"/>
            <rFont val="Tahoma"/>
            <family val="2"/>
          </rPr>
          <t xml:space="preserve">
This is the area in square metres.</t>
        </r>
      </text>
    </comment>
    <comment ref="I102" authorId="0" shapeId="0" xr:uid="{28FB65D8-C231-400B-A5AB-5DB8F391B5B9}">
      <text>
        <r>
          <rPr>
            <b/>
            <sz val="9"/>
            <color indexed="81"/>
            <rFont val="Tahoma"/>
            <family val="2"/>
          </rPr>
          <t>Andrew Otto:</t>
        </r>
        <r>
          <rPr>
            <sz val="9"/>
            <color indexed="81"/>
            <rFont val="Tahoma"/>
            <family val="2"/>
          </rPr>
          <t xml:space="preserve">
This is the area in square metres.</t>
        </r>
      </text>
    </comment>
    <comment ref="H103" authorId="0" shapeId="0" xr:uid="{F416DF63-4F6E-4BA1-9F20-20F7087BBC31}">
      <text>
        <r>
          <rPr>
            <b/>
            <sz val="9"/>
            <color indexed="81"/>
            <rFont val="Tahoma"/>
            <family val="2"/>
          </rPr>
          <t>Andrew Otto:</t>
        </r>
        <r>
          <rPr>
            <sz val="9"/>
            <color indexed="81"/>
            <rFont val="Tahoma"/>
            <family val="2"/>
          </rPr>
          <t xml:space="preserve">
This is a spray rate per square metre.</t>
        </r>
      </text>
    </comment>
    <comment ref="H104" authorId="0" shapeId="0" xr:uid="{747DF0CB-449B-47D6-AD43-F42BC672FE51}">
      <text>
        <r>
          <rPr>
            <b/>
            <sz val="9"/>
            <color indexed="81"/>
            <rFont val="Tahoma"/>
            <family val="2"/>
          </rPr>
          <t>Andrew Otto:</t>
        </r>
        <r>
          <rPr>
            <sz val="9"/>
            <color indexed="81"/>
            <rFont val="Tahoma"/>
            <family val="2"/>
          </rPr>
          <t xml:space="preserve">
This is a spray rate per square metre.</t>
        </r>
      </text>
    </comment>
    <comment ref="H105" authorId="0" shapeId="0" xr:uid="{D92B41CB-E567-402D-A476-7C95079C210F}">
      <text>
        <r>
          <rPr>
            <b/>
            <sz val="9"/>
            <color indexed="81"/>
            <rFont val="Tahoma"/>
            <family val="2"/>
          </rPr>
          <t>Andrew Otto:</t>
        </r>
        <r>
          <rPr>
            <sz val="9"/>
            <color indexed="81"/>
            <rFont val="Tahoma"/>
            <family val="2"/>
          </rPr>
          <t xml:space="preserve">
This is a spray rate per square metre.</t>
        </r>
      </text>
    </comment>
    <comment ref="I108" authorId="0" shapeId="0" xr:uid="{42CD4539-99FF-485B-A7DE-09D528DF9DC4}">
      <text>
        <r>
          <rPr>
            <b/>
            <sz val="9"/>
            <color indexed="81"/>
            <rFont val="Tahoma"/>
            <family val="2"/>
          </rPr>
          <t>Andrew Otto:</t>
        </r>
        <r>
          <rPr>
            <sz val="9"/>
            <color indexed="81"/>
            <rFont val="Tahoma"/>
            <family val="2"/>
          </rPr>
          <t xml:space="preserve">
If Ground clearing is to be undertaken then insert quantity in hectares here.</t>
        </r>
      </text>
    </comment>
    <comment ref="F110" authorId="0" shapeId="0" xr:uid="{C9BED743-7B81-487A-B610-F326E22A2517}">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11" authorId="0" shapeId="0" xr:uid="{3449522A-99B4-4DA0-9F19-950350AE73E0}">
      <text>
        <r>
          <rPr>
            <b/>
            <sz val="9"/>
            <color indexed="81"/>
            <rFont val="Tahoma"/>
            <family val="2"/>
          </rPr>
          <t>Andrew Otto:</t>
        </r>
        <r>
          <rPr>
            <sz val="9"/>
            <color indexed="81"/>
            <rFont val="Tahoma"/>
            <family val="2"/>
          </rPr>
          <t xml:space="preserve">
If Rockfill is to be used, then insert quantity in tonnes here.</t>
        </r>
      </text>
    </comment>
    <comment ref="I120" authorId="0" shapeId="0" xr:uid="{DD48122A-A17C-4775-B2FC-57E8A4452D7E}">
      <text>
        <r>
          <rPr>
            <b/>
            <sz val="9"/>
            <color indexed="81"/>
            <rFont val="Tahoma"/>
            <family val="2"/>
          </rPr>
          <t>Andrew Otto:</t>
        </r>
        <r>
          <rPr>
            <sz val="9"/>
            <color indexed="81"/>
            <rFont val="Tahoma"/>
            <family val="2"/>
          </rPr>
          <t xml:space="preserve">
This is the area in square metres.</t>
        </r>
      </text>
    </comment>
    <comment ref="I122" authorId="0" shapeId="0" xr:uid="{43609A7E-F136-4654-A6FA-3DFD62230C60}">
      <text>
        <r>
          <rPr>
            <b/>
            <sz val="9"/>
            <color indexed="81"/>
            <rFont val="Tahoma"/>
            <family val="2"/>
          </rPr>
          <t>Andrew Otto:</t>
        </r>
        <r>
          <rPr>
            <sz val="9"/>
            <color indexed="81"/>
            <rFont val="Tahoma"/>
            <family val="2"/>
          </rPr>
          <t xml:space="preserve">
This is the area in square metres.</t>
        </r>
      </text>
    </comment>
    <comment ref="H123" authorId="0" shapeId="0" xr:uid="{61A4267F-5131-4BD8-B933-9BEA8B8B3907}">
      <text>
        <r>
          <rPr>
            <b/>
            <sz val="9"/>
            <color indexed="81"/>
            <rFont val="Tahoma"/>
            <family val="2"/>
          </rPr>
          <t>Andrew Otto:</t>
        </r>
        <r>
          <rPr>
            <sz val="9"/>
            <color indexed="81"/>
            <rFont val="Tahoma"/>
            <family val="2"/>
          </rPr>
          <t xml:space="preserve">
This is a spray rate per square metre.</t>
        </r>
      </text>
    </comment>
    <comment ref="H124" authorId="0" shapeId="0" xr:uid="{4CFACE7F-46F3-4362-8B36-D2C0DDBDC255}">
      <text>
        <r>
          <rPr>
            <b/>
            <sz val="9"/>
            <color indexed="81"/>
            <rFont val="Tahoma"/>
            <family val="2"/>
          </rPr>
          <t>Andrew Otto:</t>
        </r>
        <r>
          <rPr>
            <sz val="9"/>
            <color indexed="81"/>
            <rFont val="Tahoma"/>
            <family val="2"/>
          </rPr>
          <t xml:space="preserve">
This is a spray rate per square metre.</t>
        </r>
      </text>
    </comment>
    <comment ref="H125" authorId="0" shapeId="0" xr:uid="{3C77F74C-6880-4049-903B-B2CB232017C9}">
      <text>
        <r>
          <rPr>
            <b/>
            <sz val="9"/>
            <color indexed="81"/>
            <rFont val="Tahoma"/>
            <family val="2"/>
          </rPr>
          <t>Andrew Otto:</t>
        </r>
        <r>
          <rPr>
            <sz val="9"/>
            <color indexed="81"/>
            <rFont val="Tahoma"/>
            <family val="2"/>
          </rPr>
          <t xml:space="preserve">
This is a spray rate per square metre.</t>
        </r>
      </text>
    </comment>
    <comment ref="I132" authorId="0" shapeId="0" xr:uid="{B4FDAA47-7691-45DF-AC0E-C10D8AD50D57}">
      <text>
        <r>
          <rPr>
            <b/>
            <sz val="9"/>
            <color indexed="81"/>
            <rFont val="Tahoma"/>
            <family val="2"/>
          </rPr>
          <t>Andrew Otto:</t>
        </r>
        <r>
          <rPr>
            <sz val="9"/>
            <color indexed="81"/>
            <rFont val="Tahoma"/>
            <family val="2"/>
          </rPr>
          <t xml:space="preserve">
If Ground clearing is to be undertaken then insert quantity in hectares here.</t>
        </r>
      </text>
    </comment>
    <comment ref="F134" authorId="0" shapeId="0" xr:uid="{E2F71B1E-5D1C-4BBF-95DA-814FB1F0C8A7}">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35" authorId="0" shapeId="0" xr:uid="{FBD70968-DF0D-4615-87F0-52D250C40F5E}">
      <text>
        <r>
          <rPr>
            <b/>
            <sz val="9"/>
            <color indexed="81"/>
            <rFont val="Tahoma"/>
            <family val="2"/>
          </rPr>
          <t>Andrew Otto:</t>
        </r>
        <r>
          <rPr>
            <sz val="9"/>
            <color indexed="81"/>
            <rFont val="Tahoma"/>
            <family val="2"/>
          </rPr>
          <t xml:space="preserve">
If Rockfill is to be used, then insert quantity in tonnes here.</t>
        </r>
      </text>
    </comment>
    <comment ref="I144" authorId="0" shapeId="0" xr:uid="{CC476042-129C-4237-A10B-D9109063945F}">
      <text>
        <r>
          <rPr>
            <b/>
            <sz val="9"/>
            <color indexed="81"/>
            <rFont val="Tahoma"/>
            <family val="2"/>
          </rPr>
          <t>Andrew Otto:</t>
        </r>
        <r>
          <rPr>
            <sz val="9"/>
            <color indexed="81"/>
            <rFont val="Tahoma"/>
            <family val="2"/>
          </rPr>
          <t xml:space="preserve">
This is the area in square metres.</t>
        </r>
      </text>
    </comment>
    <comment ref="I146" authorId="0" shapeId="0" xr:uid="{CCFFACC0-7CFF-4B11-ACBD-86966C763218}">
      <text>
        <r>
          <rPr>
            <b/>
            <sz val="9"/>
            <color indexed="81"/>
            <rFont val="Tahoma"/>
            <family val="2"/>
          </rPr>
          <t>Andrew Otto:</t>
        </r>
        <r>
          <rPr>
            <sz val="9"/>
            <color indexed="81"/>
            <rFont val="Tahoma"/>
            <family val="2"/>
          </rPr>
          <t xml:space="preserve">
This is the area in square metres.</t>
        </r>
      </text>
    </comment>
    <comment ref="H147" authorId="0" shapeId="0" xr:uid="{54FF9B69-44BC-4795-99C1-0E26D58E0A76}">
      <text>
        <r>
          <rPr>
            <b/>
            <sz val="9"/>
            <color indexed="81"/>
            <rFont val="Tahoma"/>
            <family val="2"/>
          </rPr>
          <t>Andrew Otto:</t>
        </r>
        <r>
          <rPr>
            <sz val="9"/>
            <color indexed="81"/>
            <rFont val="Tahoma"/>
            <family val="2"/>
          </rPr>
          <t xml:space="preserve">
This is a spray rate per square metre.</t>
        </r>
      </text>
    </comment>
    <comment ref="H148" authorId="0" shapeId="0" xr:uid="{A7C598D6-3132-4AD9-B404-0158152A6AE8}">
      <text>
        <r>
          <rPr>
            <b/>
            <sz val="9"/>
            <color indexed="81"/>
            <rFont val="Tahoma"/>
            <family val="2"/>
          </rPr>
          <t>Andrew Otto:</t>
        </r>
        <r>
          <rPr>
            <sz val="9"/>
            <color indexed="81"/>
            <rFont val="Tahoma"/>
            <family val="2"/>
          </rPr>
          <t xml:space="preserve">
This is a spray rate per square metre.</t>
        </r>
      </text>
    </comment>
    <comment ref="H149" authorId="0" shapeId="0" xr:uid="{E89ACDCD-C1B7-498D-8C3C-908F35B2FBF5}">
      <text>
        <r>
          <rPr>
            <b/>
            <sz val="9"/>
            <color indexed="81"/>
            <rFont val="Tahoma"/>
            <family val="2"/>
          </rPr>
          <t>Andrew Otto:</t>
        </r>
        <r>
          <rPr>
            <sz val="9"/>
            <color indexed="81"/>
            <rFont val="Tahoma"/>
            <family val="2"/>
          </rPr>
          <t xml:space="preserve">
This is a spray rate per square metre.</t>
        </r>
      </text>
    </comment>
    <comment ref="I152" authorId="0" shapeId="0" xr:uid="{1A6F5EF7-949E-4564-95A1-454C45BA5880}">
      <text>
        <r>
          <rPr>
            <b/>
            <sz val="9"/>
            <color indexed="81"/>
            <rFont val="Tahoma"/>
            <family val="2"/>
          </rPr>
          <t>Andrew Otto:</t>
        </r>
        <r>
          <rPr>
            <sz val="9"/>
            <color indexed="81"/>
            <rFont val="Tahoma"/>
            <family val="2"/>
          </rPr>
          <t xml:space="preserve">
If Ground clearing is to be undertaken then insert quantity in hectares here.</t>
        </r>
      </text>
    </comment>
    <comment ref="F154" authorId="0" shapeId="0" xr:uid="{04A793E3-9834-465E-813F-A530D970E19C}">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55" authorId="0" shapeId="0" xr:uid="{E3E8C5B7-C641-4245-8C93-926F2718A9C8}">
      <text>
        <r>
          <rPr>
            <b/>
            <sz val="9"/>
            <color indexed="81"/>
            <rFont val="Tahoma"/>
            <family val="2"/>
          </rPr>
          <t>Andrew Otto:</t>
        </r>
        <r>
          <rPr>
            <sz val="9"/>
            <color indexed="81"/>
            <rFont val="Tahoma"/>
            <family val="2"/>
          </rPr>
          <t xml:space="preserve">
If Rockfill is to be used, then insert quantity in tonnes here.</t>
        </r>
      </text>
    </comment>
    <comment ref="I164" authorId="0" shapeId="0" xr:uid="{AD0DC6FE-650A-4650-92D0-E3DBAF7F1E79}">
      <text>
        <r>
          <rPr>
            <b/>
            <sz val="9"/>
            <color indexed="81"/>
            <rFont val="Tahoma"/>
            <family val="2"/>
          </rPr>
          <t>Andrew Otto:</t>
        </r>
        <r>
          <rPr>
            <sz val="9"/>
            <color indexed="81"/>
            <rFont val="Tahoma"/>
            <family val="2"/>
          </rPr>
          <t xml:space="preserve">
This is the area in square metres.</t>
        </r>
      </text>
    </comment>
    <comment ref="I166" authorId="0" shapeId="0" xr:uid="{34F2548D-DE38-47C5-BEDC-DF7C7DEB26FD}">
      <text>
        <r>
          <rPr>
            <b/>
            <sz val="9"/>
            <color indexed="81"/>
            <rFont val="Tahoma"/>
            <family val="2"/>
          </rPr>
          <t>Andrew Otto:</t>
        </r>
        <r>
          <rPr>
            <sz val="9"/>
            <color indexed="81"/>
            <rFont val="Tahoma"/>
            <family val="2"/>
          </rPr>
          <t xml:space="preserve">
This is the area in square metres.</t>
        </r>
      </text>
    </comment>
    <comment ref="H167" authorId="0" shapeId="0" xr:uid="{4D142CE5-065F-444B-AC08-C26686F0C49B}">
      <text>
        <r>
          <rPr>
            <b/>
            <sz val="9"/>
            <color indexed="81"/>
            <rFont val="Tahoma"/>
            <family val="2"/>
          </rPr>
          <t>Andrew Otto:</t>
        </r>
        <r>
          <rPr>
            <sz val="9"/>
            <color indexed="81"/>
            <rFont val="Tahoma"/>
            <family val="2"/>
          </rPr>
          <t xml:space="preserve">
This is a spray rate per square metre.</t>
        </r>
      </text>
    </comment>
    <comment ref="H168" authorId="0" shapeId="0" xr:uid="{E80CD805-E7DA-4385-B4BA-70B63307D025}">
      <text>
        <r>
          <rPr>
            <b/>
            <sz val="9"/>
            <color indexed="81"/>
            <rFont val="Tahoma"/>
            <family val="2"/>
          </rPr>
          <t>Andrew Otto:</t>
        </r>
        <r>
          <rPr>
            <sz val="9"/>
            <color indexed="81"/>
            <rFont val="Tahoma"/>
            <family val="2"/>
          </rPr>
          <t xml:space="preserve">
This is a spray rate per square metre.</t>
        </r>
      </text>
    </comment>
    <comment ref="H169" authorId="0" shapeId="0" xr:uid="{8C8CC432-F784-49AB-AA3A-D7372BA1A197}">
      <text>
        <r>
          <rPr>
            <b/>
            <sz val="9"/>
            <color indexed="81"/>
            <rFont val="Tahoma"/>
            <family val="2"/>
          </rPr>
          <t>Andrew Otto:</t>
        </r>
        <r>
          <rPr>
            <sz val="9"/>
            <color indexed="81"/>
            <rFont val="Tahoma"/>
            <family val="2"/>
          </rPr>
          <t xml:space="preserve">
This is a spray rate per square metre.</t>
        </r>
      </text>
    </comment>
    <comment ref="I172" authorId="0" shapeId="0" xr:uid="{C9EAC9BE-DEDE-4D55-922E-9C8778A729D3}">
      <text>
        <r>
          <rPr>
            <b/>
            <sz val="9"/>
            <color indexed="81"/>
            <rFont val="Tahoma"/>
            <family val="2"/>
          </rPr>
          <t>Andrew Otto:</t>
        </r>
        <r>
          <rPr>
            <sz val="9"/>
            <color indexed="81"/>
            <rFont val="Tahoma"/>
            <family val="2"/>
          </rPr>
          <t xml:space="preserve">
If Ground clearing is to be undertaken then insert quantity in hectares here.</t>
        </r>
      </text>
    </comment>
    <comment ref="F174" authorId="0" shapeId="0" xr:uid="{DF0634AC-ACAB-48C8-B8F3-1B0649F2786B}">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75" authorId="0" shapeId="0" xr:uid="{E6B5A196-C4BD-40A2-9A0B-C7EEEB3CFBAD}">
      <text>
        <r>
          <rPr>
            <b/>
            <sz val="9"/>
            <color indexed="81"/>
            <rFont val="Tahoma"/>
            <family val="2"/>
          </rPr>
          <t>Andrew Otto:</t>
        </r>
        <r>
          <rPr>
            <sz val="9"/>
            <color indexed="81"/>
            <rFont val="Tahoma"/>
            <family val="2"/>
          </rPr>
          <t xml:space="preserve">
If Rockfill is to be used, then insert quantity in tonnes here.</t>
        </r>
      </text>
    </comment>
    <comment ref="I184" authorId="0" shapeId="0" xr:uid="{513D7C86-DB80-4B08-A328-1FCF46A67087}">
      <text>
        <r>
          <rPr>
            <b/>
            <sz val="9"/>
            <color indexed="81"/>
            <rFont val="Tahoma"/>
            <family val="2"/>
          </rPr>
          <t>Andrew Otto:</t>
        </r>
        <r>
          <rPr>
            <sz val="9"/>
            <color indexed="81"/>
            <rFont val="Tahoma"/>
            <family val="2"/>
          </rPr>
          <t xml:space="preserve">
This is the area in square metres.</t>
        </r>
      </text>
    </comment>
    <comment ref="I186" authorId="0" shapeId="0" xr:uid="{171413BB-A7DE-4069-AFCF-3B4D7316513B}">
      <text>
        <r>
          <rPr>
            <b/>
            <sz val="9"/>
            <color indexed="81"/>
            <rFont val="Tahoma"/>
            <family val="2"/>
          </rPr>
          <t>Andrew Otto:</t>
        </r>
        <r>
          <rPr>
            <sz val="9"/>
            <color indexed="81"/>
            <rFont val="Tahoma"/>
            <family val="2"/>
          </rPr>
          <t xml:space="preserve">
This is the area in square metres.</t>
        </r>
      </text>
    </comment>
    <comment ref="H187" authorId="0" shapeId="0" xr:uid="{2E836713-70E0-4D24-B833-4E8D19286191}">
      <text>
        <r>
          <rPr>
            <b/>
            <sz val="9"/>
            <color indexed="81"/>
            <rFont val="Tahoma"/>
            <family val="2"/>
          </rPr>
          <t>Andrew Otto:</t>
        </r>
        <r>
          <rPr>
            <sz val="9"/>
            <color indexed="81"/>
            <rFont val="Tahoma"/>
            <family val="2"/>
          </rPr>
          <t xml:space="preserve">
This is a spray rate per square metre.</t>
        </r>
      </text>
    </comment>
    <comment ref="H188" authorId="0" shapeId="0" xr:uid="{E84A361F-D10F-43E7-8EB1-EA9269103EB8}">
      <text>
        <r>
          <rPr>
            <b/>
            <sz val="9"/>
            <color indexed="81"/>
            <rFont val="Tahoma"/>
            <family val="2"/>
          </rPr>
          <t>Andrew Otto:</t>
        </r>
        <r>
          <rPr>
            <sz val="9"/>
            <color indexed="81"/>
            <rFont val="Tahoma"/>
            <family val="2"/>
          </rPr>
          <t xml:space="preserve">
This is a spray rate per square metre.</t>
        </r>
      </text>
    </comment>
    <comment ref="H189" authorId="0" shapeId="0" xr:uid="{FF2E5E74-8A73-430D-BA3F-16A62D696A1F}">
      <text>
        <r>
          <rPr>
            <b/>
            <sz val="9"/>
            <color indexed="81"/>
            <rFont val="Tahoma"/>
            <family val="2"/>
          </rPr>
          <t>Andrew Otto:</t>
        </r>
        <r>
          <rPr>
            <sz val="9"/>
            <color indexed="81"/>
            <rFont val="Tahoma"/>
            <family val="2"/>
          </rPr>
          <t xml:space="preserve">
This is a spray rate per square metre.</t>
        </r>
      </text>
    </comment>
    <comment ref="I196" authorId="0" shapeId="0" xr:uid="{4C14790B-95C0-4E33-A591-C83B6AFF8DFC}">
      <text>
        <r>
          <rPr>
            <b/>
            <sz val="9"/>
            <color indexed="81"/>
            <rFont val="Tahoma"/>
            <family val="2"/>
          </rPr>
          <t>Andrew Otto:</t>
        </r>
        <r>
          <rPr>
            <sz val="9"/>
            <color indexed="81"/>
            <rFont val="Tahoma"/>
            <family val="2"/>
          </rPr>
          <t xml:space="preserve">
If Ground clearing is to be undertaken then insert quantity in hectares here.</t>
        </r>
      </text>
    </comment>
    <comment ref="F198" authorId="0" shapeId="0" xr:uid="{05738AA0-8C5B-42D1-9821-0DB0285C8EEB}">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199" authorId="0" shapeId="0" xr:uid="{770FEFC1-E4DA-4F10-9CC1-201E38D94812}">
      <text>
        <r>
          <rPr>
            <b/>
            <sz val="9"/>
            <color indexed="81"/>
            <rFont val="Tahoma"/>
            <family val="2"/>
          </rPr>
          <t>Andrew Otto:</t>
        </r>
        <r>
          <rPr>
            <sz val="9"/>
            <color indexed="81"/>
            <rFont val="Tahoma"/>
            <family val="2"/>
          </rPr>
          <t xml:space="preserve">
If Rockfill is to be used, then insert quantity in tonnes here.</t>
        </r>
      </text>
    </comment>
    <comment ref="I208" authorId="0" shapeId="0" xr:uid="{75CDA7A8-9EAA-405F-AABC-0893292E56B9}">
      <text>
        <r>
          <rPr>
            <b/>
            <sz val="9"/>
            <color indexed="81"/>
            <rFont val="Tahoma"/>
            <family val="2"/>
          </rPr>
          <t>Andrew Otto:</t>
        </r>
        <r>
          <rPr>
            <sz val="9"/>
            <color indexed="81"/>
            <rFont val="Tahoma"/>
            <family val="2"/>
          </rPr>
          <t xml:space="preserve">
This is the area in square metres.</t>
        </r>
      </text>
    </comment>
    <comment ref="I210" authorId="0" shapeId="0" xr:uid="{A5795A31-2296-4323-B7E0-237E0BFA3167}">
      <text>
        <r>
          <rPr>
            <b/>
            <sz val="9"/>
            <color indexed="81"/>
            <rFont val="Tahoma"/>
            <family val="2"/>
          </rPr>
          <t>Andrew Otto:</t>
        </r>
        <r>
          <rPr>
            <sz val="9"/>
            <color indexed="81"/>
            <rFont val="Tahoma"/>
            <family val="2"/>
          </rPr>
          <t xml:space="preserve">
This is the area in square metres.</t>
        </r>
      </text>
    </comment>
    <comment ref="H211" authorId="0" shapeId="0" xr:uid="{311AC39C-3CD1-4EC5-AE61-9AB97709B389}">
      <text>
        <r>
          <rPr>
            <b/>
            <sz val="9"/>
            <color indexed="81"/>
            <rFont val="Tahoma"/>
            <family val="2"/>
          </rPr>
          <t>Andrew Otto:</t>
        </r>
        <r>
          <rPr>
            <sz val="9"/>
            <color indexed="81"/>
            <rFont val="Tahoma"/>
            <family val="2"/>
          </rPr>
          <t xml:space="preserve">
This is a spray rate per square metre.</t>
        </r>
      </text>
    </comment>
    <comment ref="H212" authorId="0" shapeId="0" xr:uid="{F0014713-268E-424F-81BE-6759FF09C56A}">
      <text>
        <r>
          <rPr>
            <b/>
            <sz val="9"/>
            <color indexed="81"/>
            <rFont val="Tahoma"/>
            <family val="2"/>
          </rPr>
          <t>Andrew Otto:</t>
        </r>
        <r>
          <rPr>
            <sz val="9"/>
            <color indexed="81"/>
            <rFont val="Tahoma"/>
            <family val="2"/>
          </rPr>
          <t xml:space="preserve">
This is a spray rate per square metre.</t>
        </r>
      </text>
    </comment>
    <comment ref="H213" authorId="0" shapeId="0" xr:uid="{F921CCA3-9168-4204-A564-C9121DB0E759}">
      <text>
        <r>
          <rPr>
            <b/>
            <sz val="9"/>
            <color indexed="81"/>
            <rFont val="Tahoma"/>
            <family val="2"/>
          </rPr>
          <t>Andrew Otto:</t>
        </r>
        <r>
          <rPr>
            <sz val="9"/>
            <color indexed="81"/>
            <rFont val="Tahoma"/>
            <family val="2"/>
          </rPr>
          <t xml:space="preserve">
This is a spray rate per square metre.</t>
        </r>
      </text>
    </comment>
    <comment ref="I216" authorId="0" shapeId="0" xr:uid="{3BF3C779-2B0F-4231-B00F-1959F3DD150C}">
      <text>
        <r>
          <rPr>
            <b/>
            <sz val="9"/>
            <color indexed="81"/>
            <rFont val="Tahoma"/>
            <family val="2"/>
          </rPr>
          <t>Andrew Otto:</t>
        </r>
        <r>
          <rPr>
            <sz val="9"/>
            <color indexed="81"/>
            <rFont val="Tahoma"/>
            <family val="2"/>
          </rPr>
          <t xml:space="preserve">
If Ground clearing is to be undertaken then insert quantity in hectares here.</t>
        </r>
      </text>
    </comment>
    <comment ref="F218" authorId="0" shapeId="0" xr:uid="{2A6C2010-DEB5-460D-8A2C-B41CAF3120CC}">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19" authorId="0" shapeId="0" xr:uid="{789E011D-295B-4E2B-A22A-B3151674FF7C}">
      <text>
        <r>
          <rPr>
            <b/>
            <sz val="9"/>
            <color indexed="81"/>
            <rFont val="Tahoma"/>
            <family val="2"/>
          </rPr>
          <t>Andrew Otto:</t>
        </r>
        <r>
          <rPr>
            <sz val="9"/>
            <color indexed="81"/>
            <rFont val="Tahoma"/>
            <family val="2"/>
          </rPr>
          <t xml:space="preserve">
If Rockfill is to be used, then insert quantity in tonnes here.</t>
        </r>
      </text>
    </comment>
    <comment ref="I228" authorId="0" shapeId="0" xr:uid="{BE192F8D-80C6-4DC1-98F8-D1620F24B43E}">
      <text>
        <r>
          <rPr>
            <b/>
            <sz val="9"/>
            <color indexed="81"/>
            <rFont val="Tahoma"/>
            <family val="2"/>
          </rPr>
          <t>Andrew Otto:</t>
        </r>
        <r>
          <rPr>
            <sz val="9"/>
            <color indexed="81"/>
            <rFont val="Tahoma"/>
            <family val="2"/>
          </rPr>
          <t xml:space="preserve">
This is the area in square metres.</t>
        </r>
      </text>
    </comment>
    <comment ref="I230" authorId="0" shapeId="0" xr:uid="{F35EB014-6A26-41E3-BACF-94D5CD97652B}">
      <text>
        <r>
          <rPr>
            <b/>
            <sz val="9"/>
            <color indexed="81"/>
            <rFont val="Tahoma"/>
            <family val="2"/>
          </rPr>
          <t>Andrew Otto:</t>
        </r>
        <r>
          <rPr>
            <sz val="9"/>
            <color indexed="81"/>
            <rFont val="Tahoma"/>
            <family val="2"/>
          </rPr>
          <t xml:space="preserve">
This is the area in square metres.</t>
        </r>
      </text>
    </comment>
    <comment ref="H231" authorId="0" shapeId="0" xr:uid="{ACB13863-50D7-4DCF-828F-35F9A3DDE11B}">
      <text>
        <r>
          <rPr>
            <b/>
            <sz val="9"/>
            <color indexed="81"/>
            <rFont val="Tahoma"/>
            <family val="2"/>
          </rPr>
          <t>Andrew Otto:</t>
        </r>
        <r>
          <rPr>
            <sz val="9"/>
            <color indexed="81"/>
            <rFont val="Tahoma"/>
            <family val="2"/>
          </rPr>
          <t xml:space="preserve">
This is a spray rate per square metre.</t>
        </r>
      </text>
    </comment>
    <comment ref="H232" authorId="0" shapeId="0" xr:uid="{55053625-12F8-4C41-A589-26222B488760}">
      <text>
        <r>
          <rPr>
            <b/>
            <sz val="9"/>
            <color indexed="81"/>
            <rFont val="Tahoma"/>
            <family val="2"/>
          </rPr>
          <t>Andrew Otto:</t>
        </r>
        <r>
          <rPr>
            <sz val="9"/>
            <color indexed="81"/>
            <rFont val="Tahoma"/>
            <family val="2"/>
          </rPr>
          <t xml:space="preserve">
This is a spray rate per square metre.</t>
        </r>
      </text>
    </comment>
    <comment ref="H233" authorId="0" shapeId="0" xr:uid="{D224294E-202B-4CD3-A918-425224D3558F}">
      <text>
        <r>
          <rPr>
            <b/>
            <sz val="9"/>
            <color indexed="81"/>
            <rFont val="Tahoma"/>
            <family val="2"/>
          </rPr>
          <t>Andrew Otto:</t>
        </r>
        <r>
          <rPr>
            <sz val="9"/>
            <color indexed="81"/>
            <rFont val="Tahoma"/>
            <family val="2"/>
          </rPr>
          <t xml:space="preserve">
This is a spray rate per square metre.</t>
        </r>
      </text>
    </comment>
    <comment ref="I236" authorId="0" shapeId="0" xr:uid="{36271873-1E75-42B4-A2B1-E563C9834CD7}">
      <text>
        <r>
          <rPr>
            <b/>
            <sz val="9"/>
            <color indexed="81"/>
            <rFont val="Tahoma"/>
            <family val="2"/>
          </rPr>
          <t>Andrew Otto:</t>
        </r>
        <r>
          <rPr>
            <sz val="9"/>
            <color indexed="81"/>
            <rFont val="Tahoma"/>
            <family val="2"/>
          </rPr>
          <t xml:space="preserve">
If Ground clearing is to be undertaken then insert quantity in hectares here.</t>
        </r>
      </text>
    </comment>
    <comment ref="F238" authorId="0" shapeId="0" xr:uid="{8A03C0F9-1668-4B66-A581-9405950C1EAC}">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J239" authorId="0" shapeId="0" xr:uid="{FDA406A8-260E-4537-9C54-A5FB257D4C80}">
      <text>
        <r>
          <rPr>
            <b/>
            <sz val="9"/>
            <color indexed="81"/>
            <rFont val="Tahoma"/>
            <family val="2"/>
          </rPr>
          <t>Andrew Otto:</t>
        </r>
        <r>
          <rPr>
            <sz val="9"/>
            <color indexed="81"/>
            <rFont val="Tahoma"/>
            <family val="2"/>
          </rPr>
          <t xml:space="preserve">
If Rockfill is to be used, then insert quantity in tonnes here.</t>
        </r>
      </text>
    </comment>
    <comment ref="I248" authorId="0" shapeId="0" xr:uid="{C5DDB595-D9E8-4A6C-824A-C1E14DC8CD43}">
      <text>
        <r>
          <rPr>
            <b/>
            <sz val="9"/>
            <color indexed="81"/>
            <rFont val="Tahoma"/>
            <family val="2"/>
          </rPr>
          <t>Andrew Otto:</t>
        </r>
        <r>
          <rPr>
            <sz val="9"/>
            <color indexed="81"/>
            <rFont val="Tahoma"/>
            <family val="2"/>
          </rPr>
          <t xml:space="preserve">
This is the area in square metres.</t>
        </r>
      </text>
    </comment>
    <comment ref="I250" authorId="0" shapeId="0" xr:uid="{2011E8EC-BABA-4BE2-84E1-609C6E98B075}">
      <text>
        <r>
          <rPr>
            <b/>
            <sz val="9"/>
            <color indexed="81"/>
            <rFont val="Tahoma"/>
            <family val="2"/>
          </rPr>
          <t>Andrew Otto:</t>
        </r>
        <r>
          <rPr>
            <sz val="9"/>
            <color indexed="81"/>
            <rFont val="Tahoma"/>
            <family val="2"/>
          </rPr>
          <t xml:space="preserve">
This is the area in square metres.</t>
        </r>
      </text>
    </comment>
    <comment ref="H251" authorId="0" shapeId="0" xr:uid="{1079C172-66C3-4C98-BEA1-C4D095C077A8}">
      <text>
        <r>
          <rPr>
            <b/>
            <sz val="9"/>
            <color indexed="81"/>
            <rFont val="Tahoma"/>
            <family val="2"/>
          </rPr>
          <t>Andrew Otto:</t>
        </r>
        <r>
          <rPr>
            <sz val="9"/>
            <color indexed="81"/>
            <rFont val="Tahoma"/>
            <family val="2"/>
          </rPr>
          <t xml:space="preserve">
This is a spray rate per square metre.</t>
        </r>
      </text>
    </comment>
    <comment ref="H252" authorId="0" shapeId="0" xr:uid="{BEDA68D1-3D2E-40C9-8B40-91E996EB2DC0}">
      <text>
        <r>
          <rPr>
            <b/>
            <sz val="9"/>
            <color indexed="81"/>
            <rFont val="Tahoma"/>
            <family val="2"/>
          </rPr>
          <t>Andrew Otto:</t>
        </r>
        <r>
          <rPr>
            <sz val="9"/>
            <color indexed="81"/>
            <rFont val="Tahoma"/>
            <family val="2"/>
          </rPr>
          <t xml:space="preserve">
This is a spray rate per square metre.</t>
        </r>
      </text>
    </comment>
    <comment ref="H253" authorId="0" shapeId="0" xr:uid="{55E11FD5-4817-4DAF-B786-E20CB32DCC9F}">
      <text>
        <r>
          <rPr>
            <b/>
            <sz val="9"/>
            <color indexed="81"/>
            <rFont val="Tahoma"/>
            <family val="2"/>
          </rPr>
          <t>Andrew Otto:</t>
        </r>
        <r>
          <rPr>
            <sz val="9"/>
            <color indexed="81"/>
            <rFont val="Tahoma"/>
            <family val="2"/>
          </rPr>
          <t xml:space="preserve">
This is a spray rate per square metre.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E6" authorId="0" shapeId="0" xr:uid="{C916295D-1D04-42B4-B7B9-531E883C1A5A}">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G6" authorId="0" shapeId="0" xr:uid="{13348C46-307A-44B0-9DAA-F72D197EEECF}">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I6" authorId="0" shapeId="0" xr:uid="{816AB546-B089-4EC1-9981-2553E04547D0}">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E14" authorId="0" shapeId="0" xr:uid="{BDBCF921-C4F4-45AF-87DA-D296B679ABB2}">
      <text>
        <r>
          <rPr>
            <b/>
            <sz val="9"/>
            <color indexed="81"/>
            <rFont val="Tahoma"/>
            <family val="2"/>
          </rPr>
          <t>Andrew Otto:</t>
        </r>
        <r>
          <rPr>
            <sz val="9"/>
            <color indexed="81"/>
            <rFont val="Tahoma"/>
            <family val="2"/>
          </rPr>
          <t xml:space="preserve">
If using a concrete pavement overlay, then please insert the cost here.</t>
        </r>
      </text>
    </comment>
    <comment ref="G14" authorId="0" shapeId="0" xr:uid="{5B67F18C-80C4-4730-B958-5B7740F9A1A9}">
      <text>
        <r>
          <rPr>
            <b/>
            <sz val="9"/>
            <color indexed="81"/>
            <rFont val="Tahoma"/>
            <family val="2"/>
          </rPr>
          <t>Andrew Otto:</t>
        </r>
        <r>
          <rPr>
            <sz val="9"/>
            <color indexed="81"/>
            <rFont val="Tahoma"/>
            <family val="2"/>
          </rPr>
          <t xml:space="preserve">
If using a concrete pavement overlay, then please insert the cost here.</t>
        </r>
      </text>
    </comment>
    <comment ref="I14" authorId="0" shapeId="0" xr:uid="{803E8B7C-4EEC-41F9-83AE-7E5AA78F71B1}">
      <text>
        <r>
          <rPr>
            <b/>
            <sz val="9"/>
            <color indexed="81"/>
            <rFont val="Tahoma"/>
            <family val="2"/>
          </rPr>
          <t>Andrew Otto:</t>
        </r>
        <r>
          <rPr>
            <sz val="9"/>
            <color indexed="81"/>
            <rFont val="Tahoma"/>
            <family val="2"/>
          </rPr>
          <t xml:space="preserve">
If using a concrete pavement overlay, then please insert the cost here.</t>
        </r>
      </text>
    </comment>
    <comment ref="E22" authorId="0" shapeId="0" xr:uid="{E727ED62-8B0E-416F-B90A-B4A6BF29CB58}">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G22" authorId="0" shapeId="0" xr:uid="{D5C166D3-1065-4A28-910D-7FCF208F86F0}">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I22" authorId="0" shapeId="0" xr:uid="{9499A09F-317D-44C3-AB0A-45D28E7A18CC}">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E30" authorId="0" shapeId="0" xr:uid="{EA76FE73-39D9-419D-BAAE-6FA968D066A5}">
      <text>
        <r>
          <rPr>
            <b/>
            <sz val="9"/>
            <color indexed="81"/>
            <rFont val="Tahoma"/>
            <family val="2"/>
          </rPr>
          <t>Andrew Otto:</t>
        </r>
        <r>
          <rPr>
            <sz val="9"/>
            <color indexed="81"/>
            <rFont val="Tahoma"/>
            <family val="2"/>
          </rPr>
          <t xml:space="preserve">
If using a concrete pavement overlay, then please insert the cost here.</t>
        </r>
      </text>
    </comment>
    <comment ref="G30" authorId="0" shapeId="0" xr:uid="{BABFAFB6-89F6-4E6E-8D3F-23508920EBFF}">
      <text>
        <r>
          <rPr>
            <b/>
            <sz val="9"/>
            <color indexed="81"/>
            <rFont val="Tahoma"/>
            <family val="2"/>
          </rPr>
          <t>Andrew Otto:</t>
        </r>
        <r>
          <rPr>
            <sz val="9"/>
            <color indexed="81"/>
            <rFont val="Tahoma"/>
            <family val="2"/>
          </rPr>
          <t xml:space="preserve">
If using a concrete pavement overlay, then please insert the cost here.</t>
        </r>
      </text>
    </comment>
    <comment ref="I30" authorId="0" shapeId="0" xr:uid="{D218EC19-382F-49BB-ADE9-4C2A7976CC67}">
      <text>
        <r>
          <rPr>
            <b/>
            <sz val="9"/>
            <color indexed="81"/>
            <rFont val="Tahoma"/>
            <family val="2"/>
          </rPr>
          <t>Andrew Otto:</t>
        </r>
        <r>
          <rPr>
            <sz val="9"/>
            <color indexed="81"/>
            <rFont val="Tahoma"/>
            <family val="2"/>
          </rPr>
          <t xml:space="preserve">
If using a concrete pavement overlay, then please insert the cost here.</t>
        </r>
      </text>
    </comment>
    <comment ref="E38" authorId="0" shapeId="0" xr:uid="{6B30A0CE-89D7-4DBB-ADAE-E0D3233490FD}">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G38" authorId="0" shapeId="0" xr:uid="{CA782143-892A-417D-968D-C2DD6AA3070F}">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I38" authorId="0" shapeId="0" xr:uid="{C04743C4-930F-4D56-9C40-5590505EDE04}">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E46" authorId="0" shapeId="0" xr:uid="{4DDD3FE6-FA48-4F1B-AE01-90F98D0FFFB4}">
      <text>
        <r>
          <rPr>
            <b/>
            <sz val="9"/>
            <color indexed="81"/>
            <rFont val="Tahoma"/>
            <family val="2"/>
          </rPr>
          <t>Andrew Otto:</t>
        </r>
        <r>
          <rPr>
            <sz val="9"/>
            <color indexed="81"/>
            <rFont val="Tahoma"/>
            <family val="2"/>
          </rPr>
          <t xml:space="preserve">
If using a concrete pavement overlay, then please insert the cost here.</t>
        </r>
      </text>
    </comment>
    <comment ref="G46" authorId="0" shapeId="0" xr:uid="{D7A360AB-6665-4D7D-A389-40618D12072D}">
      <text>
        <r>
          <rPr>
            <b/>
            <sz val="9"/>
            <color indexed="81"/>
            <rFont val="Tahoma"/>
            <family val="2"/>
          </rPr>
          <t>Andrew Otto:</t>
        </r>
        <r>
          <rPr>
            <sz val="9"/>
            <color indexed="81"/>
            <rFont val="Tahoma"/>
            <family val="2"/>
          </rPr>
          <t xml:space="preserve">
If using a concrete pavement overlay, then please insert the cost here.</t>
        </r>
      </text>
    </comment>
    <comment ref="I46" authorId="0" shapeId="0" xr:uid="{19230BE5-4CFC-4201-B51E-7882FBCE29EF}">
      <text>
        <r>
          <rPr>
            <b/>
            <sz val="9"/>
            <color indexed="81"/>
            <rFont val="Tahoma"/>
            <family val="2"/>
          </rPr>
          <t>Andrew Otto:</t>
        </r>
        <r>
          <rPr>
            <sz val="9"/>
            <color indexed="81"/>
            <rFont val="Tahoma"/>
            <family val="2"/>
          </rPr>
          <t xml:space="preserve">
If using a concrete pavement overlay, then please insert the cost here.</t>
        </r>
      </text>
    </comment>
    <comment ref="E54" authorId="0" shapeId="0" xr:uid="{BD8631AE-95C5-4340-90D7-E1017F17A4B4}">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G54" authorId="0" shapeId="0" xr:uid="{8016A948-C797-48CB-9515-D2B06B9E34B6}">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I54" authorId="0" shapeId="0" xr:uid="{B5AB5356-9B37-4ED3-8242-F5F9D9AA8705}">
      <text>
        <r>
          <rPr>
            <b/>
            <sz val="9"/>
            <color indexed="81"/>
            <rFont val="Tahoma"/>
            <family val="2"/>
          </rPr>
          <t>Andrew Otto:</t>
        </r>
        <r>
          <rPr>
            <sz val="9"/>
            <color indexed="81"/>
            <rFont val="Tahoma"/>
            <family val="2"/>
          </rPr>
          <t xml:space="preserve">
If using a levelling or binder course as part of the overlay, then please insert the cost here.</t>
        </r>
      </text>
    </comment>
    <comment ref="E62" authorId="0" shapeId="0" xr:uid="{D405C3A7-7EB2-4047-B4B8-D7108F3A36B4}">
      <text>
        <r>
          <rPr>
            <b/>
            <sz val="9"/>
            <color indexed="81"/>
            <rFont val="Tahoma"/>
            <family val="2"/>
          </rPr>
          <t>Andrew Otto:</t>
        </r>
        <r>
          <rPr>
            <sz val="9"/>
            <color indexed="81"/>
            <rFont val="Tahoma"/>
            <family val="2"/>
          </rPr>
          <t xml:space="preserve">
If using a concrete pavement overlay, then please insert the cost here.</t>
        </r>
      </text>
    </comment>
    <comment ref="G62" authorId="0" shapeId="0" xr:uid="{BE5525A4-9827-458C-90A1-605FB6496DA5}">
      <text>
        <r>
          <rPr>
            <b/>
            <sz val="9"/>
            <color indexed="81"/>
            <rFont val="Tahoma"/>
            <family val="2"/>
          </rPr>
          <t>Andrew Otto:</t>
        </r>
        <r>
          <rPr>
            <sz val="9"/>
            <color indexed="81"/>
            <rFont val="Tahoma"/>
            <family val="2"/>
          </rPr>
          <t xml:space="preserve">
If using a concrete pavement overlay, then please insert the cost here.</t>
        </r>
      </text>
    </comment>
    <comment ref="I62" authorId="0" shapeId="0" xr:uid="{0CE6F900-43EC-44F0-9E33-1B0BC4271D14}">
      <text>
        <r>
          <rPr>
            <b/>
            <sz val="9"/>
            <color indexed="81"/>
            <rFont val="Tahoma"/>
            <family val="2"/>
          </rPr>
          <t>Andrew Otto:</t>
        </r>
        <r>
          <rPr>
            <sz val="9"/>
            <color indexed="81"/>
            <rFont val="Tahoma"/>
            <family val="2"/>
          </rPr>
          <t xml:space="preserve">
If using a concrete pavement overlay, then please insert the cost here.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E6" authorId="0" shapeId="0" xr:uid="{462E0A9E-5FFE-4080-BADA-EC7C95706603}">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G6" authorId="0" shapeId="0" xr:uid="{BB983D3C-3438-44C4-B0CC-90C4FEFE02D2}">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I6" authorId="0" shapeId="0" xr:uid="{9D2D3286-B860-421D-872A-5D59C316CBEF}">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E14" authorId="0" shapeId="0" xr:uid="{8A8969EC-6E01-4581-92C7-9EDD53AD42AB}">
      <text>
        <r>
          <rPr>
            <b/>
            <sz val="9"/>
            <color indexed="81"/>
            <rFont val="Tahoma"/>
            <family val="2"/>
          </rPr>
          <t>Andrew Otto:</t>
        </r>
        <r>
          <rPr>
            <sz val="9"/>
            <color indexed="81"/>
            <rFont val="Tahoma"/>
            <family val="2"/>
          </rPr>
          <t xml:space="preserve">
If using a concrete pavement overlay, then please insert the CO2e here.</t>
        </r>
      </text>
    </comment>
    <comment ref="G14" authorId="0" shapeId="0" xr:uid="{ED171924-FB19-4B02-9DA2-D634DF08C1B9}">
      <text>
        <r>
          <rPr>
            <b/>
            <sz val="9"/>
            <color indexed="81"/>
            <rFont val="Tahoma"/>
            <family val="2"/>
          </rPr>
          <t>Andrew Otto:</t>
        </r>
        <r>
          <rPr>
            <sz val="9"/>
            <color indexed="81"/>
            <rFont val="Tahoma"/>
            <family val="2"/>
          </rPr>
          <t xml:space="preserve">
If using a concrete pavement overlay, then please insert the CO2e here.</t>
        </r>
      </text>
    </comment>
    <comment ref="I14" authorId="0" shapeId="0" xr:uid="{E1FA13CC-57CF-48F4-9F4A-430EF040412A}">
      <text>
        <r>
          <rPr>
            <b/>
            <sz val="9"/>
            <color indexed="81"/>
            <rFont val="Tahoma"/>
            <family val="2"/>
          </rPr>
          <t>Andrew Otto:</t>
        </r>
        <r>
          <rPr>
            <sz val="9"/>
            <color indexed="81"/>
            <rFont val="Tahoma"/>
            <family val="2"/>
          </rPr>
          <t xml:space="preserve">
If using a concrete pavement overlay, then please insert the CO2e here.</t>
        </r>
      </text>
    </comment>
    <comment ref="E22" authorId="0" shapeId="0" xr:uid="{2F672892-E0B4-4B66-B4B9-DC3E3DA27C88}">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G22" authorId="0" shapeId="0" xr:uid="{907EA507-9340-4784-851C-26B24878E8F4}">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I22" authorId="0" shapeId="0" xr:uid="{51E9F98F-341E-47BB-AE4D-C563BA4F3223}">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E30" authorId="0" shapeId="0" xr:uid="{56C51B39-0BB3-4D27-89A4-45BEC9FD7AA8}">
      <text>
        <r>
          <rPr>
            <b/>
            <sz val="9"/>
            <color indexed="81"/>
            <rFont val="Tahoma"/>
            <family val="2"/>
          </rPr>
          <t>Andrew Otto:</t>
        </r>
        <r>
          <rPr>
            <sz val="9"/>
            <color indexed="81"/>
            <rFont val="Tahoma"/>
            <family val="2"/>
          </rPr>
          <t xml:space="preserve">
If using a concrete pavement overlay, then please insert the CO2e here.</t>
        </r>
      </text>
    </comment>
    <comment ref="G30" authorId="0" shapeId="0" xr:uid="{07EFAEB1-6B30-41E2-9714-0DC1F54DDF06}">
      <text>
        <r>
          <rPr>
            <b/>
            <sz val="9"/>
            <color indexed="81"/>
            <rFont val="Tahoma"/>
            <family val="2"/>
          </rPr>
          <t>Andrew Otto:</t>
        </r>
        <r>
          <rPr>
            <sz val="9"/>
            <color indexed="81"/>
            <rFont val="Tahoma"/>
            <family val="2"/>
          </rPr>
          <t xml:space="preserve">
If using a concrete pavement overlay, then please insert the CO2e here.</t>
        </r>
      </text>
    </comment>
    <comment ref="I30" authorId="0" shapeId="0" xr:uid="{133ECAD1-AC04-42DB-84C2-2A00A4601A8F}">
      <text>
        <r>
          <rPr>
            <b/>
            <sz val="9"/>
            <color indexed="81"/>
            <rFont val="Tahoma"/>
            <family val="2"/>
          </rPr>
          <t>Andrew Otto:</t>
        </r>
        <r>
          <rPr>
            <sz val="9"/>
            <color indexed="81"/>
            <rFont val="Tahoma"/>
            <family val="2"/>
          </rPr>
          <t xml:space="preserve">
If using a concrete pavement overlay, then please insert the CO2e here.</t>
        </r>
      </text>
    </comment>
    <comment ref="E38" authorId="0" shapeId="0" xr:uid="{181EF733-E277-4AC4-810F-3C17D7F7D7D1}">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G38" authorId="0" shapeId="0" xr:uid="{F4F171D6-4464-44F3-A3DB-DC34E55A1036}">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I38" authorId="0" shapeId="0" xr:uid="{15C9DAE2-745A-4369-99D0-6375F4A7D3DB}">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E46" authorId="0" shapeId="0" xr:uid="{A2162DCE-88CF-4E50-9EC5-62A2C0CCE383}">
      <text>
        <r>
          <rPr>
            <b/>
            <sz val="9"/>
            <color indexed="81"/>
            <rFont val="Tahoma"/>
            <family val="2"/>
          </rPr>
          <t>Andrew Otto:</t>
        </r>
        <r>
          <rPr>
            <sz val="9"/>
            <color indexed="81"/>
            <rFont val="Tahoma"/>
            <family val="2"/>
          </rPr>
          <t xml:space="preserve">
If using a concrete pavement overlay, then please insert the CO2e here.</t>
        </r>
      </text>
    </comment>
    <comment ref="G46" authorId="0" shapeId="0" xr:uid="{C9FF354D-A62B-4171-A020-839FF7E1A3AF}">
      <text>
        <r>
          <rPr>
            <b/>
            <sz val="9"/>
            <color indexed="81"/>
            <rFont val="Tahoma"/>
            <family val="2"/>
          </rPr>
          <t>Andrew Otto:</t>
        </r>
        <r>
          <rPr>
            <sz val="9"/>
            <color indexed="81"/>
            <rFont val="Tahoma"/>
            <family val="2"/>
          </rPr>
          <t xml:space="preserve">
If using a concrete pavement overlay, then please insert the CO2e here.</t>
        </r>
      </text>
    </comment>
    <comment ref="I46" authorId="0" shapeId="0" xr:uid="{D6B8BA7B-6579-4504-8D55-CDFC06493CB2}">
      <text>
        <r>
          <rPr>
            <b/>
            <sz val="9"/>
            <color indexed="81"/>
            <rFont val="Tahoma"/>
            <family val="2"/>
          </rPr>
          <t>Andrew Otto:</t>
        </r>
        <r>
          <rPr>
            <sz val="9"/>
            <color indexed="81"/>
            <rFont val="Tahoma"/>
            <family val="2"/>
          </rPr>
          <t xml:space="preserve">
If using a concrete pavement overlay, then please insert the CO2e here.</t>
        </r>
      </text>
    </comment>
    <comment ref="E54" authorId="0" shapeId="0" xr:uid="{013AE825-0D3B-4748-AA26-8A94140E1669}">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G54" authorId="0" shapeId="0" xr:uid="{6376258E-0B5E-47AA-99B8-A71A0497B619}">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I54" authorId="0" shapeId="0" xr:uid="{46E09553-26AB-4E45-8CE5-938B5C50AC0E}">
      <text>
        <r>
          <rPr>
            <b/>
            <sz val="9"/>
            <color indexed="81"/>
            <rFont val="Tahoma"/>
            <family val="2"/>
          </rPr>
          <t>Andrew Otto:</t>
        </r>
        <r>
          <rPr>
            <sz val="9"/>
            <color indexed="81"/>
            <rFont val="Tahoma"/>
            <family val="2"/>
          </rPr>
          <t xml:space="preserve">
If using a levelling or binder course as part of the overlay, then please insert the CO2e here.</t>
        </r>
      </text>
    </comment>
    <comment ref="E62" authorId="0" shapeId="0" xr:uid="{5F12876B-EA29-4647-9877-27A54930DC21}">
      <text>
        <r>
          <rPr>
            <b/>
            <sz val="9"/>
            <color indexed="81"/>
            <rFont val="Tahoma"/>
            <family val="2"/>
          </rPr>
          <t>Andrew Otto:</t>
        </r>
        <r>
          <rPr>
            <sz val="9"/>
            <color indexed="81"/>
            <rFont val="Tahoma"/>
            <family val="2"/>
          </rPr>
          <t xml:space="preserve">
If using a concrete pavement overlay, then please insert the CO2e here.</t>
        </r>
      </text>
    </comment>
    <comment ref="G62" authorId="0" shapeId="0" xr:uid="{024B2C3A-5007-4FD6-BCDA-004F5DA48262}">
      <text>
        <r>
          <rPr>
            <b/>
            <sz val="9"/>
            <color indexed="81"/>
            <rFont val="Tahoma"/>
            <family val="2"/>
          </rPr>
          <t>Andrew Otto:</t>
        </r>
        <r>
          <rPr>
            <sz val="9"/>
            <color indexed="81"/>
            <rFont val="Tahoma"/>
            <family val="2"/>
          </rPr>
          <t xml:space="preserve">
If using a concrete pavement overlay, then please insert the CO2e here.</t>
        </r>
      </text>
    </comment>
    <comment ref="I62" authorId="0" shapeId="0" xr:uid="{4382C4BC-8FCA-4643-BA48-9B58D59CC34C}">
      <text>
        <r>
          <rPr>
            <b/>
            <sz val="9"/>
            <color indexed="81"/>
            <rFont val="Tahoma"/>
            <family val="2"/>
          </rPr>
          <t>Andrew Otto:</t>
        </r>
        <r>
          <rPr>
            <sz val="9"/>
            <color indexed="81"/>
            <rFont val="Tahoma"/>
            <family val="2"/>
          </rPr>
          <t xml:space="preserve">
If using a concrete pavement overlay, then please insert the CO2e here.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Andrew Otto</author>
  </authors>
  <commentList>
    <comment ref="F4" authorId="0" shapeId="0" xr:uid="{BFFBCA06-0B27-4FD3-82E5-1E9AF92CBCF1}">
      <text>
        <r>
          <rPr>
            <b/>
            <sz val="9"/>
            <color indexed="81"/>
            <rFont val="Tahoma"/>
            <family val="2"/>
          </rPr>
          <t>Andrew Otto:</t>
        </r>
        <r>
          <rPr>
            <sz val="9"/>
            <color indexed="81"/>
            <rFont val="Tahoma"/>
            <family val="2"/>
          </rPr>
          <t xml:space="preserve">
If you have more accurate values or values that apply to your agency, then you may insert them here BUT adhere to the units.</t>
        </r>
      </text>
    </comment>
    <comment ref="C7" authorId="0" shapeId="0" xr:uid="{76B862D2-7FD7-4EF5-A4C3-5E77E2D7BE54}">
      <text>
        <r>
          <rPr>
            <b/>
            <sz val="9"/>
            <color indexed="81"/>
            <rFont val="Tahoma"/>
            <family val="2"/>
          </rPr>
          <t>Andrew Otto:</t>
        </r>
        <r>
          <rPr>
            <sz val="9"/>
            <color indexed="81"/>
            <rFont val="Tahoma"/>
            <family val="2"/>
          </rPr>
          <t xml:space="preserve">
After top soil removal, the subgrade has to be compacted to a depth of 300 mm (RN 31 Spec) prior to placing capping; except for swamps/bog.</t>
        </r>
      </text>
    </comment>
    <comment ref="F42" authorId="0" shapeId="0" xr:uid="{04F8A554-52D0-4FE2-AA50-103C39B3B81D}">
      <text>
        <r>
          <rPr>
            <b/>
            <sz val="9"/>
            <color indexed="81"/>
            <rFont val="Tahoma"/>
            <family val="2"/>
          </rPr>
          <t>Andrew Otto:</t>
        </r>
        <r>
          <rPr>
            <sz val="9"/>
            <color indexed="81"/>
            <rFont val="Tahoma"/>
            <family val="2"/>
          </rPr>
          <t xml:space="preserve">
For Double Otta Seal use 0.000667025.
For Cape Seal use 0.110307
Double surface dressing/DBST/chip seal use 0.0006003.
For double sand seal use 0.00047</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<sst xmlns="http://schemas.openxmlformats.org/spreadsheetml/2006/main" count="1650" uniqueCount="324">
  <si>
    <t>Criteria Weighting</t>
  </si>
  <si>
    <t>Design Option 1</t>
  </si>
  <si>
    <t>Design Option 2</t>
  </si>
  <si>
    <t>Design Option 3</t>
  </si>
  <si>
    <t>Design Option 4</t>
  </si>
  <si>
    <t>Score</t>
  </si>
  <si>
    <t>Evaluation Parameters</t>
  </si>
  <si>
    <t>Minimum  Values</t>
  </si>
  <si>
    <t>Maximum Values</t>
  </si>
  <si>
    <t>Subgrade preparation</t>
  </si>
  <si>
    <t>Option 1</t>
  </si>
  <si>
    <t>Section 1</t>
  </si>
  <si>
    <t>Section 3</t>
  </si>
  <si>
    <t>Layer</t>
  </si>
  <si>
    <t>No consideration for climate resilience. The road design does not incorporate any climate-resilient features. Standard materials and practices are used without adaptation to local climate risks.</t>
  </si>
  <si>
    <t>Minimal consideration for climate resilience. Basic awareness of climate risks is present, but design features are limited or inadequate. Standard drainage systems and road elevations are used without considering future climate conditions.</t>
  </si>
  <si>
    <t>Limited climate resilience measures. Some climate-resilient features are included, such as minor improvements in drainage or slightly elevated roadbeds, but these are not sufficient to handle severe climate impacts.</t>
  </si>
  <si>
    <t>Basic climate resilience. The road design includes some standard resilience features like basic drainage systems and minimal use of temperature-resistant materials. However, the overall design is still vulnerable to significant climate events.</t>
  </si>
  <si>
    <t>Moderate climate resilience. The road incorporates a moderate level of climate-resilient design, including improved drainage systems, elevation adjustments, and the use of materials that are somewhat resistant to local climate conditions.</t>
  </si>
  <si>
    <t>Above-average climate resilience. The road design includes well-considered measures such as robust drainage systems, moderate elevation of roadbeds, and the use of materials specifically chosen for their resilience to local climate conditions (e.g., heat-resistant asphalt).</t>
  </si>
  <si>
    <t>Good climate resilience. The design standards are explicitly adapted to the local climate risks, including advanced drainage systems, significant elevation above known flood levels, and the use of highly resilient materials. Engineering practices are aligned with current climate models and projections.</t>
  </si>
  <si>
    <t>High climate resilience. The road is designed with comprehensive resilience measures that exceed standard practices. These include advanced, adaptive drainage systems, significant elevation changes to avoid flooding, and the use of cutting-edge materials that resist temperature fluctuations and water damage. The design also considers long-term climate projections.</t>
  </si>
  <si>
    <t>Very high climate resilience. The road design integrates state-of-the-art climate resilience features, including dynamic drainage systems that can adapt to changing conditions, extreme elevation adjustments, and the use of the most advanced materials available. The design is based on detailed climate modeling, incorporating projections for several decades ahead.</t>
  </si>
  <si>
    <t>Exceptional climate resilience. The road design sets a benchmark for climate resilience, incorporating the most advanced and innovative measures available globally. Features include adaptive and modular infrastructure elements that can be easily upgraded as climate conditions change, extensive use of the most resilient materials, and comprehensive integration of natural and artificial barriers. The design also includes redundancy and failsafe systems that ensure the road remains operational under extreme climate scenarios.</t>
  </si>
  <si>
    <t>Climate Resilience Scoring Criteria (1-10)</t>
  </si>
  <si>
    <t>Exemplary mitigation measures, fully integrated into the project design, with innovative solutions and clear mechanisms for monitoring and adjustment.</t>
  </si>
  <si>
    <t>Highly detailed and effective mitigation strategies are proposed, addressing all significant impacts with clear, actionable plans.</t>
  </si>
  <si>
    <t>Comprehensive and feasible mitigation measures are proposed for most impacts, with clear implementation plans</t>
  </si>
  <si>
    <t>Adequate mitigation measures are identified, addressing most key impacts, but some measures may lack detail or feasibility.</t>
  </si>
  <si>
    <t>Basic mitigation measures are proposed, but they are not specific, feasible, or sufficient to address the identified impacts.</t>
  </si>
  <si>
    <t>Environmental Social Impact Assessment Score (1-5)</t>
  </si>
  <si>
    <t>Capping Materials</t>
  </si>
  <si>
    <t>G8</t>
  </si>
  <si>
    <t>CB3</t>
  </si>
  <si>
    <t>GB1</t>
  </si>
  <si>
    <t>GB2</t>
  </si>
  <si>
    <t>GB3</t>
  </si>
  <si>
    <t>Mac</t>
  </si>
  <si>
    <t>BSM</t>
  </si>
  <si>
    <t>ETSB</t>
  </si>
  <si>
    <t>CB1</t>
  </si>
  <si>
    <t>CB2</t>
  </si>
  <si>
    <t>AC</t>
  </si>
  <si>
    <t>HRA</t>
  </si>
  <si>
    <t>DBM</t>
  </si>
  <si>
    <t>SMA</t>
  </si>
  <si>
    <t>EME2</t>
  </si>
  <si>
    <t>Description</t>
  </si>
  <si>
    <t>Granular Capping of Min CBR 8%</t>
  </si>
  <si>
    <t>Granular Capping of Min CBR 15%</t>
  </si>
  <si>
    <t>Granular Material of Min CBR 30%</t>
  </si>
  <si>
    <t>Granular Material of Min CBR 45%</t>
  </si>
  <si>
    <t>Hydraulically-Modified Material UCS 0.75 MPa</t>
  </si>
  <si>
    <t>Hydraulically-Modified Material UCS 1.5 MPa</t>
  </si>
  <si>
    <t>Hydraulically-Modified Material UCS 3.0 MPa</t>
  </si>
  <si>
    <t>Granular Base Type 1</t>
  </si>
  <si>
    <t>Granular Base Type 2</t>
  </si>
  <si>
    <t>Granular Base Type 3</t>
  </si>
  <si>
    <t>Macadam (Wet/Dry Bound Macadam)</t>
  </si>
  <si>
    <t>Bitumen Stabilised Material</t>
  </si>
  <si>
    <t>Emulsion Treated Sand Base</t>
  </si>
  <si>
    <t>Double Bituminous Surface Treatment</t>
  </si>
  <si>
    <t>Asphalt Concrete</t>
  </si>
  <si>
    <t>Hot Rolled Asphalt</t>
  </si>
  <si>
    <t>Dense Bitumnous Macadam</t>
  </si>
  <si>
    <t>Stone Mastic Asphalt</t>
  </si>
  <si>
    <t>Enrobe A Module Eleve</t>
  </si>
  <si>
    <t>Carbon Factor</t>
  </si>
  <si>
    <t>Removal of top soil</t>
  </si>
  <si>
    <t>Material</t>
  </si>
  <si>
    <t xml:space="preserve">30% fly ash replacement - C20/25 </t>
  </si>
  <si>
    <t xml:space="preserve">30% fly ash replacement - C25/30 </t>
  </si>
  <si>
    <t xml:space="preserve">30% fly ash replacement - C28/35 </t>
  </si>
  <si>
    <t xml:space="preserve">30% fly ash replacement - C32/40 </t>
  </si>
  <si>
    <t>30% fly ash replacement - C35/45</t>
  </si>
  <si>
    <t xml:space="preserve">30% fly ash replacement - C40/50 </t>
  </si>
  <si>
    <t xml:space="preserve">100% CEM I - C20/25 </t>
  </si>
  <si>
    <t xml:space="preserve">100% CEM I - C25/30 </t>
  </si>
  <si>
    <t xml:space="preserve">100% CEM I - C28/35 </t>
  </si>
  <si>
    <t xml:space="preserve">100% CEM I - C32/40 </t>
  </si>
  <si>
    <t>100% CEM I - C35/45</t>
  </si>
  <si>
    <t xml:space="preserve">100% CEM I - C40/50 </t>
  </si>
  <si>
    <t>Material Units</t>
  </si>
  <si>
    <t>Concrete made with general cement UCS 20/25 MPa</t>
  </si>
  <si>
    <t>Concrete made with general cement UCS 25/30 MPa</t>
  </si>
  <si>
    <t>Concrete made with general cement UCS 28/35 MPa</t>
  </si>
  <si>
    <t>Concrete made with general cement UCS 32/40 MPa</t>
  </si>
  <si>
    <t>Concrete made with general cement UCS 35/45 MPa</t>
  </si>
  <si>
    <t>Concrete made with general cement UCS 40/40 MPa</t>
  </si>
  <si>
    <t>Double Bituminous Surface Treatment (made with bitumen emulsion)</t>
  </si>
  <si>
    <t>CB1 (30% PFA)</t>
  </si>
  <si>
    <t>CB2 (30% PFA)</t>
  </si>
  <si>
    <t>CB3 (30% PFA)</t>
  </si>
  <si>
    <t>Concrete made with PFA cement UCS 20/25 MPa</t>
  </si>
  <si>
    <t>Concrete made with PFA cement UCS 25/30 MPa</t>
  </si>
  <si>
    <t>Concrete made with PFA cement UCS 28/35 MPa</t>
  </si>
  <si>
    <t>Concrete made with PFA cement UCS 32/40 MPa</t>
  </si>
  <si>
    <t>Concrete made with PFA cement UCS 35/45 MPa</t>
  </si>
  <si>
    <t>Concrete made with PFA cement UCS 40/40 MPa</t>
  </si>
  <si>
    <t>Carbon Quantity Units</t>
  </si>
  <si>
    <t>Sub-base 1</t>
  </si>
  <si>
    <t>Sub-base 2</t>
  </si>
  <si>
    <t>Roadbase 2</t>
  </si>
  <si>
    <t>Roadbase 1</t>
  </si>
  <si>
    <t>Binder Course</t>
  </si>
  <si>
    <t>Wearing Course</t>
  </si>
  <si>
    <t>Seal</t>
  </si>
  <si>
    <t>Compacted Thickness (mm)</t>
  </si>
  <si>
    <t>Width (m)</t>
  </si>
  <si>
    <t>Section</t>
  </si>
  <si>
    <r>
      <t>Volume (m</t>
    </r>
    <r>
      <rPr>
        <b/>
        <vertAlign val="superscript"/>
        <sz val="11"/>
        <color theme="1"/>
        <rFont val="Aptos Narrow"/>
        <family val="2"/>
        <scheme val="minor"/>
      </rPr>
      <t>3</t>
    </r>
    <r>
      <rPr>
        <b/>
        <sz val="11"/>
        <color theme="1"/>
        <rFont val="Aptos Narrow"/>
        <family val="2"/>
        <scheme val="minor"/>
      </rPr>
      <t>)</t>
    </r>
  </si>
  <si>
    <t>Capping/Fill 2</t>
  </si>
  <si>
    <t>Capping/Fill 1</t>
  </si>
  <si>
    <t>Mass (tonne)</t>
  </si>
  <si>
    <t>Length (km)</t>
  </si>
  <si>
    <t xml:space="preserve">Concrete </t>
  </si>
  <si>
    <t>Class</t>
  </si>
  <si>
    <t>Sub-base and Roadbase Materials</t>
  </si>
  <si>
    <t>GS2/G30</t>
  </si>
  <si>
    <t>GS1/G45</t>
  </si>
  <si>
    <t>GC/G15</t>
  </si>
  <si>
    <t>G60</t>
  </si>
  <si>
    <t>G80</t>
  </si>
  <si>
    <t>Granular Material of Min CBR 60%</t>
  </si>
  <si>
    <t>Granular Material of Min CBR 80%</t>
  </si>
  <si>
    <t>Ground clearing</t>
  </si>
  <si>
    <t>OPTION 1</t>
  </si>
  <si>
    <t>OPTION 2</t>
  </si>
  <si>
    <t>OPTION 3</t>
  </si>
  <si>
    <t>OPTION 4</t>
  </si>
  <si>
    <t>Binder Course and Surfacing</t>
  </si>
  <si>
    <t>Climate Resilience Score</t>
  </si>
  <si>
    <t>ESIA Score</t>
  </si>
  <si>
    <t xml:space="preserve">Overall Climate Resilience Score for the Road </t>
  </si>
  <si>
    <t>Overall ESIA Score for the Road</t>
  </si>
  <si>
    <t>Sum for Section</t>
  </si>
  <si>
    <t>Sum for All Sections</t>
  </si>
  <si>
    <t>Option Sums for All Sections</t>
  </si>
  <si>
    <r>
      <t>m</t>
    </r>
    <r>
      <rPr>
        <vertAlign val="superscript"/>
        <sz val="11"/>
        <color theme="1"/>
        <rFont val="Aptos Narrow"/>
        <family val="2"/>
        <scheme val="minor"/>
      </rPr>
      <t>3</t>
    </r>
  </si>
  <si>
    <t>ha</t>
  </si>
  <si>
    <t>Rockfill</t>
  </si>
  <si>
    <t>tonne</t>
  </si>
  <si>
    <t>DBST</t>
  </si>
  <si>
    <t>DBST (Emulsion)</t>
  </si>
  <si>
    <t>Single Bituminous Surface Treatment</t>
  </si>
  <si>
    <t>Single Bituminous Surface Treatment (made with bitumen emulsion)</t>
  </si>
  <si>
    <t>SBST</t>
  </si>
  <si>
    <t>SBST (Emulsion)</t>
  </si>
  <si>
    <r>
      <t>m</t>
    </r>
    <r>
      <rPr>
        <vertAlign val="superscript"/>
        <sz val="11"/>
        <color theme="1"/>
        <rFont val="Aptos Narrow"/>
        <family val="2"/>
        <scheme val="minor"/>
      </rPr>
      <t>2</t>
    </r>
  </si>
  <si>
    <t>Climate Resilience/ ESIA Initiative</t>
  </si>
  <si>
    <t>Initiative Effectiveness Score</t>
  </si>
  <si>
    <t>Enhancement Initiative proposed</t>
  </si>
  <si>
    <t>Epoxy seal on AC</t>
  </si>
  <si>
    <t>Dust mitigation</t>
  </si>
  <si>
    <t>Triple surface dressing</t>
  </si>
  <si>
    <t>Minimal</t>
  </si>
  <si>
    <t>Side drain 100 mm deeper</t>
  </si>
  <si>
    <t>No major benefits</t>
  </si>
  <si>
    <t>Side drain 150 mm deeper</t>
  </si>
  <si>
    <r>
      <t>Ground clearing (</t>
    </r>
    <r>
      <rPr>
        <b/>
        <sz val="11"/>
        <color rgb="FFFF0000"/>
        <rFont val="Aptos Narrow"/>
        <family val="2"/>
        <scheme val="minor"/>
      </rPr>
      <t>in hectares</t>
    </r>
    <r>
      <rPr>
        <sz val="11"/>
        <color theme="1"/>
        <rFont val="Aptos Narrow"/>
        <family val="2"/>
        <scheme val="minor"/>
      </rPr>
      <t>)</t>
    </r>
  </si>
  <si>
    <r>
      <t>Rockfill (</t>
    </r>
    <r>
      <rPr>
        <b/>
        <sz val="11"/>
        <color rgb="FFFF0000"/>
        <rFont val="Aptos Narrow"/>
        <family val="2"/>
        <scheme val="minor"/>
      </rPr>
      <t>in tonnes</t>
    </r>
    <r>
      <rPr>
        <sz val="11"/>
        <color theme="1"/>
        <rFont val="Aptos Narrow"/>
        <family val="2"/>
        <scheme val="minor"/>
      </rPr>
      <t>)</t>
    </r>
  </si>
  <si>
    <t>Total Cost for Option 1</t>
  </si>
  <si>
    <t>Total Cost for Option 4</t>
  </si>
  <si>
    <t>Total Cost for Option 3</t>
  </si>
  <si>
    <t>Total Cost for Option 2</t>
  </si>
  <si>
    <t>Total length of road (km)</t>
  </si>
  <si>
    <t>Surfacing (Wearing Course)</t>
  </si>
  <si>
    <t>Surfacing (Binder Course)</t>
  </si>
  <si>
    <t>Capping 1/Fill 1</t>
  </si>
  <si>
    <t>Capping 2/Fill 2</t>
  </si>
  <si>
    <t>Section 2</t>
  </si>
  <si>
    <t>Option 2</t>
  </si>
  <si>
    <t>Option 3</t>
  </si>
  <si>
    <t>Option 4</t>
  </si>
  <si>
    <t>Economic Internal Rate of Return (EIRR) [%]</t>
  </si>
  <si>
    <t>Net Present Value (NPV) [YYY Million]</t>
  </si>
  <si>
    <t>Initial Cost [YYY Million]</t>
  </si>
  <si>
    <t>Reseal/Overlay/Inlay Cost [YYY Million]</t>
  </si>
  <si>
    <r>
      <t>Green House Gas Emissions [tonnes CO</t>
    </r>
    <r>
      <rPr>
        <vertAlign val="subscript"/>
        <sz val="11"/>
        <color theme="1"/>
        <rFont val="Aptos Narrow"/>
        <family val="2"/>
        <scheme val="minor"/>
      </rPr>
      <t>2</t>
    </r>
    <r>
      <rPr>
        <sz val="11"/>
        <color theme="1"/>
        <rFont val="Aptos Narrow"/>
        <family val="2"/>
        <scheme val="minor"/>
      </rPr>
      <t>e/km]</t>
    </r>
  </si>
  <si>
    <t>Climate Resilience Score [1-10]</t>
  </si>
  <si>
    <t>Environmental Social Impact Assessment Score [1-5]</t>
  </si>
  <si>
    <t>Initial Cost (YYY Million)</t>
  </si>
  <si>
    <t>Reseal/Overlay/Inlay Cost (YYY Million)</t>
  </si>
  <si>
    <t>Unit Cost (YYY)</t>
  </si>
  <si>
    <t>Maintenance Overlay/Inlay in design period</t>
  </si>
  <si>
    <t>Maintenance Reseal in design period</t>
  </si>
  <si>
    <t>Concrete pavement</t>
  </si>
  <si>
    <t>Steel for concrete pavement</t>
  </si>
  <si>
    <t>Priming</t>
  </si>
  <si>
    <t>Tack Coat</t>
  </si>
  <si>
    <t>Prime</t>
  </si>
  <si>
    <t>Prime (Emulsion)</t>
  </si>
  <si>
    <t>Reinforcement steel and dowels</t>
  </si>
  <si>
    <t>Prime + Stone Dust</t>
  </si>
  <si>
    <t>Prime (Emulsion) + Stone Dust</t>
  </si>
  <si>
    <t>Bond Coat</t>
  </si>
  <si>
    <t>ltr</t>
  </si>
  <si>
    <t>Prime as a cutback</t>
  </si>
  <si>
    <t>Prime as an emulsion</t>
  </si>
  <si>
    <t>Prime as a cutback (including stone dust)</t>
  </si>
  <si>
    <t>Prime as an emulsion (including stone dust)</t>
  </si>
  <si>
    <t>Tack coat for asphalt</t>
  </si>
  <si>
    <t>Bond coat for asphalt</t>
  </si>
  <si>
    <t>Steel reinforcement</t>
  </si>
  <si>
    <t>In situ subgrade compaction</t>
  </si>
  <si>
    <t>Removal of top soil to spoil</t>
  </si>
  <si>
    <t>Scarification of in situ subgrade and compaction</t>
  </si>
  <si>
    <t>Concrete Pavement+Steel</t>
  </si>
  <si>
    <t>Roadeo</t>
  </si>
  <si>
    <t>Source</t>
  </si>
  <si>
    <t>at &lt;50 % stones</t>
  </si>
  <si>
    <t>Subgrade preparation -scarify (grader), spray water, and compact</t>
  </si>
  <si>
    <t>Hard rock reused as fill</t>
  </si>
  <si>
    <t>Fill from borrow pit and add granular sub-base GS</t>
  </si>
  <si>
    <t>Adjusted G45 for more stones in GS2</t>
  </si>
  <si>
    <t>Adjusted GS2 for less stones in G8</t>
  </si>
  <si>
    <t>Adjusted GS2 for less stones in G9</t>
  </si>
  <si>
    <t>Adjusted G45 for more stones in GS3</t>
  </si>
  <si>
    <t>Adjusted G45 for more stones in GS4</t>
  </si>
  <si>
    <t>Density (kg/m3)</t>
  </si>
  <si>
    <t>ICE V3</t>
  </si>
  <si>
    <t>Adjusted GB1 for less crushing in GB3</t>
  </si>
  <si>
    <t>Assumed equal to GB1</t>
  </si>
  <si>
    <t>Coversion calculation</t>
  </si>
  <si>
    <t>Carbon</t>
  </si>
  <si>
    <t>Notes</t>
  </si>
  <si>
    <t>Calculated from ICE V3 cement carbon and approx percentage used for stabilising G30, then add G30</t>
  </si>
  <si>
    <t>Calculated from ICE V3 cement carbon and approx percentage used for stabilising G80, then add G80</t>
  </si>
  <si>
    <t>Calculated from ICE V3 cement carbon and approx percentage used for stabilising G60, then add G60</t>
  </si>
  <si>
    <r>
      <t>Converted from tCO2e/t to tCO2e/m</t>
    </r>
    <r>
      <rPr>
        <vertAlign val="superscript"/>
        <sz val="11"/>
        <color theme="1"/>
        <rFont val="Aptos Narrow"/>
        <family val="2"/>
        <scheme val="minor"/>
      </rPr>
      <t>3</t>
    </r>
  </si>
  <si>
    <t>Calculated using assumed residual bitumen of 2.5% obtained from emulsion, and residual active filler cement of 1% used to stabilise GS1</t>
  </si>
  <si>
    <t xml:space="preserve">Calculated using assumed residual bitumen content of  5.0% </t>
  </si>
  <si>
    <t xml:space="preserve">Calculated using assumed residual bitumen content of  6.5% </t>
  </si>
  <si>
    <t xml:space="preserve">Calculated using assumed residual bitumen content of  4.5% </t>
  </si>
  <si>
    <t xml:space="preserve">Calculated using assumed residual bitumen content of  5.5% </t>
  </si>
  <si>
    <t>tCO2e/ltr</t>
  </si>
  <si>
    <r>
      <t>Calculated using assumed residual bitumen density of 990 kg/m</t>
    </r>
    <r>
      <rPr>
        <vertAlign val="superscript"/>
        <sz val="11"/>
        <color theme="1"/>
        <rFont val="Aptos Narrow"/>
        <family val="2"/>
        <scheme val="minor"/>
      </rPr>
      <t>3</t>
    </r>
    <r>
      <rPr>
        <sz val="11"/>
        <color theme="1"/>
        <rFont val="Aptos Narrow"/>
        <family val="2"/>
        <scheme val="minor"/>
      </rPr>
      <t xml:space="preserve"> and only 30% residual per litre</t>
    </r>
  </si>
  <si>
    <r>
      <t>Calculated using assumed 9.25 kg/m</t>
    </r>
    <r>
      <rPr>
        <vertAlign val="superscript"/>
        <sz val="11"/>
        <color theme="1"/>
        <rFont val="Aptos Narrow"/>
        <family val="2"/>
        <scheme val="minor"/>
      </rPr>
      <t>2</t>
    </r>
    <r>
      <rPr>
        <sz val="11"/>
        <color theme="1"/>
        <rFont val="Aptos Narrow"/>
        <family val="2"/>
        <scheme val="minor"/>
      </rPr>
      <t xml:space="preserve"> of stone dust at density 1850 kg/m</t>
    </r>
    <r>
      <rPr>
        <vertAlign val="superscript"/>
        <sz val="11"/>
        <color theme="1"/>
        <rFont val="Aptos Narrow"/>
        <family val="2"/>
        <scheme val="minor"/>
      </rPr>
      <t>3</t>
    </r>
    <r>
      <rPr>
        <sz val="11"/>
        <color theme="1"/>
        <rFont val="Aptos Narrow"/>
        <family val="2"/>
        <scheme val="minor"/>
      </rPr>
      <t xml:space="preserve"> and added this to prime factor</t>
    </r>
  </si>
  <si>
    <t>Straight run bitumen content by mass. Using ICE DB average aggregates. Cradle to mixed asphalt. Includes asphalt mixing energy (which was estimated based upon MPA sustainable development data, but had to be converted to an all 3 scopes emissions factor - the MPA metrics do not include scope 3 emissions), transport of constituents by road to asphalt plant (assumed 250km for bitumen. 27.7 miles for aggregates [Ref: MPA Sustainable Development Report 2018]) and embodied carbon of ingredients. The transport of mixed asphalt to site is not included, e.g. cradle to mixed asphalt boundary. Density is for compacted asphalt. Embodied carbon of bitumen from EuroBitume, 2012.</t>
  </si>
  <si>
    <r>
      <t>Calculated using assumed residual bitumen density of 995 kg/m</t>
    </r>
    <r>
      <rPr>
        <vertAlign val="superscript"/>
        <sz val="11"/>
        <color theme="1"/>
        <rFont val="Aptos Narrow"/>
        <family val="2"/>
        <scheme val="minor"/>
      </rPr>
      <t>3</t>
    </r>
    <r>
      <rPr>
        <sz val="11"/>
        <color theme="1"/>
        <rFont val="Aptos Narrow"/>
        <family val="2"/>
        <scheme val="minor"/>
      </rPr>
      <t xml:space="preserve"> and only 85% residual per litre sprayed at 1.5 litres/m</t>
    </r>
    <r>
      <rPr>
        <vertAlign val="superscript"/>
        <sz val="11"/>
        <color theme="1"/>
        <rFont val="Aptos Narrow"/>
        <family val="2"/>
        <scheme val="minor"/>
      </rPr>
      <t>2</t>
    </r>
    <r>
      <rPr>
        <sz val="11"/>
        <color theme="1"/>
        <rFont val="Aptos Narrow"/>
        <family val="2"/>
        <scheme val="minor"/>
      </rPr>
      <t xml:space="preserve"> and then add 10 mm thickness of aggregate </t>
    </r>
  </si>
  <si>
    <r>
      <t>Calculated using assumed residual bitumen density of 995 kg/m</t>
    </r>
    <r>
      <rPr>
        <vertAlign val="superscript"/>
        <sz val="11"/>
        <color theme="1"/>
        <rFont val="Aptos Narrow"/>
        <family val="2"/>
        <scheme val="minor"/>
      </rPr>
      <t>3</t>
    </r>
    <r>
      <rPr>
        <sz val="11"/>
        <color theme="1"/>
        <rFont val="Aptos Narrow"/>
        <family val="2"/>
        <scheme val="minor"/>
      </rPr>
      <t xml:space="preserve"> and only 70% residual per litre sprayed at 1.5 litres/m2  and then add 10 mm thickness of aggregate</t>
    </r>
  </si>
  <si>
    <r>
      <t>Calculated using assumed residual bitumen density of 995 kg/m</t>
    </r>
    <r>
      <rPr>
        <vertAlign val="superscript"/>
        <sz val="11"/>
        <color theme="1"/>
        <rFont val="Aptos Narrow"/>
        <family val="2"/>
        <scheme val="minor"/>
      </rPr>
      <t>3</t>
    </r>
    <r>
      <rPr>
        <sz val="11"/>
        <color theme="1"/>
        <rFont val="Aptos Narrow"/>
        <family val="2"/>
        <scheme val="minor"/>
      </rPr>
      <t xml:space="preserve"> and only 85% residual per litre sprayed at 2.7 litres/m</t>
    </r>
    <r>
      <rPr>
        <vertAlign val="superscript"/>
        <sz val="11"/>
        <color theme="1"/>
        <rFont val="Aptos Narrow"/>
        <family val="2"/>
        <scheme val="minor"/>
      </rPr>
      <t>2</t>
    </r>
    <r>
      <rPr>
        <sz val="11"/>
        <color theme="1"/>
        <rFont val="Aptos Narrow"/>
        <family val="2"/>
        <scheme val="minor"/>
      </rPr>
      <t xml:space="preserve"> and then add 18 mm thickness of aggregate </t>
    </r>
  </si>
  <si>
    <r>
      <t>Calculated using assumed residual bitumen density of 995 kg/m</t>
    </r>
    <r>
      <rPr>
        <vertAlign val="superscript"/>
        <sz val="11"/>
        <color theme="1"/>
        <rFont val="Aptos Narrow"/>
        <family val="2"/>
        <scheme val="minor"/>
      </rPr>
      <t>3</t>
    </r>
    <r>
      <rPr>
        <sz val="11"/>
        <color theme="1"/>
        <rFont val="Aptos Narrow"/>
        <family val="2"/>
        <scheme val="minor"/>
      </rPr>
      <t xml:space="preserve"> and only 70% residual per litre sprayed at 2.7 litres/m2  and then add 18 mm thickness of aggregate</t>
    </r>
  </si>
  <si>
    <t xml:space="preserve">Excludes transport </t>
  </si>
  <si>
    <t>Transport of goods (HGV) full load</t>
  </si>
  <si>
    <t>Arithmetic mean of various truck types</t>
  </si>
  <si>
    <t>Transport</t>
  </si>
  <si>
    <t>Transport of goods (HGV) empty</t>
  </si>
  <si>
    <t>Haulage distance (km)</t>
  </si>
  <si>
    <r>
      <t>Density of material (kg/m</t>
    </r>
    <r>
      <rPr>
        <b/>
        <vertAlign val="superscript"/>
        <sz val="11"/>
        <color theme="1"/>
        <rFont val="Aptos Narrow"/>
        <family val="2"/>
        <scheme val="minor"/>
      </rPr>
      <t>3</t>
    </r>
    <r>
      <rPr>
        <b/>
        <sz val="11"/>
        <color theme="1"/>
        <rFont val="Aptos Narrow"/>
        <family val="2"/>
        <scheme val="minor"/>
      </rPr>
      <t>)</t>
    </r>
  </si>
  <si>
    <t>Layer Cost (YYY Million)</t>
  </si>
  <si>
    <t>Section Sum (YYY Million)</t>
  </si>
  <si>
    <t>See assumption made in CO2e Tables sheet regarding transport of asphalt</t>
  </si>
  <si>
    <r>
      <t>Green House Gas Emissions [tonnes CO</t>
    </r>
    <r>
      <rPr>
        <vertAlign val="subscript"/>
        <sz val="11"/>
        <color theme="1"/>
        <rFont val="Aptos Narrow"/>
        <family val="2"/>
        <scheme val="minor"/>
      </rPr>
      <t>2</t>
    </r>
    <r>
      <rPr>
        <sz val="11"/>
        <color theme="1"/>
        <rFont val="Aptos Narrow"/>
        <family val="2"/>
        <scheme val="minor"/>
      </rPr>
      <t>e]</t>
    </r>
  </si>
  <si>
    <t>Inventory of Carbon &amp; Energy (ICE) from Circular Ecology</t>
  </si>
  <si>
    <t>https://circularecology.com/resources.html</t>
  </si>
  <si>
    <t>ROADEO (World Bank/ASTAE)</t>
  </si>
  <si>
    <t>https://www.trl.co.uk/solutions/climate-change-and-sustainability/asphalt-pavement-embodied-carbon-tool</t>
  </si>
  <si>
    <t>https://www.esmap.org/node/70768</t>
  </si>
  <si>
    <t>Disclaimer</t>
  </si>
  <si>
    <t>Dashboard</t>
  </si>
  <si>
    <t>Materials Unit Costs</t>
  </si>
  <si>
    <t>Pavement Options</t>
  </si>
  <si>
    <t>Emissions for Pavement Options</t>
  </si>
  <si>
    <t>Resilience and ESIA Score</t>
  </si>
  <si>
    <t>Summary of Sections Costs</t>
  </si>
  <si>
    <t>Summary of Emissions Quantities</t>
  </si>
  <si>
    <t>This tab presents the conditions for using this spreadsheet.</t>
  </si>
  <si>
    <t>General Instructions</t>
  </si>
  <si>
    <t>This tab offers general guidance on how to use this spreadsheet. The spreadsheet should be used after pavement design options have already been completed, and economic analysis already undertaken. The pavement designer should also be aware of which climate resilience measures they have incorporated in their design so that they can use it for assigning a score in this spreadsheet. It also essential to liaise with an environmental social impact assessor (ESIA) to assist with scoring on this issue.</t>
  </si>
  <si>
    <t>Tab</t>
  </si>
  <si>
    <t>About this tool</t>
  </si>
  <si>
    <t>This tab compares the CO2 equivalent emissions associated with each design option. Like the Pavement Options tab, the materials for each layer and densities must be entered. Additionally, the haulage distance applicable to the material must be entered. The emissions calculated for emissions have factored in the fact that the truck travels one way empty and the other way full of the material.</t>
  </si>
  <si>
    <t>This tab contains the carbon factors for the various materials and MUST NOT BE ALTERED unless one is absolutely sure.</t>
  </si>
  <si>
    <t>CO2e Factors</t>
  </si>
  <si>
    <t>In this tab, the designer should enter the appropriate scores for the climate resilience initiatives proposed for each section in each design option, and the scores for the ESIA rating of the of each section in each design option.</t>
  </si>
  <si>
    <t>This tab shows a comparison of the costs associated with each layer for each section in each design option. Generally data entry is not required in this tab and it should not be tampered with. It is partially locked to minimise errors.</t>
  </si>
  <si>
    <t>This tab shows a comparison of the carbon equivalent emissions associated with each layer for each section in each design option. Generally data entry is not required in this tab and it should not be tampered with. It is partially locked to minimise errors.</t>
  </si>
  <si>
    <t>In this tab, the materials unit costs should be entered for all materials that the designer intends to use for evaluating the various pavement options. The costs should be entered to match with the units in the cells in yellow.</t>
  </si>
  <si>
    <t>The Dashboard tab provides a general overview of the comparison of various options. It is mostly a summary sheet. The net present value (NPV), economic internal rate of return (EIRR) obtained from other tools may be entered in the green cells. The weighting criteria may be altered to match with the protocols of the roads agency or financier. The cells in yellow should not be altered since they contain calculation formulae. They have therefore been locked to minimise the risk of unintentional errors. If the NPV, EIRR, and ESIA scores will not be used, then they should all be assigned the same value for all design options to enable the spreadsheet function correctly. A secondary dashboard is provided for use if the some of the data e.g., shoulder costs and emissions have to be combined separately.</t>
  </si>
  <si>
    <t>In this tab, length and width of the design sections should be entered. The materials for the different layers for each design option and design section should be selected together with the estimated density of the material. These are represented by the green cells. If the shoulders are not the same materials or thicknesses as the carriageway, then shoulders may be entered as a different section in the same design option, or as a different design option, or using another spreadsheet.</t>
  </si>
  <si>
    <t>SECONDARY DASHBOARD</t>
  </si>
  <si>
    <t>PRIMARY DASHBOARD</t>
  </si>
  <si>
    <t>This spreadsheet was designed and programmed by Andrew Otto and checked by Warsame Mohamed. For queries please email aotto@trl.co.uk or enquiries@trl.co.uk</t>
  </si>
  <si>
    <t>The carbon equaivalent factors used in this spreadsheet represent embodied carbon only (that it the emissions from its operation and usage are not included). Most of the carbon equivalent factors included in this tool include the extraction and primary processing of the material, its placement or construction (e.g., compaction). Emissions from transportation/haulage of the material are not included and have to be calculated through input of the haulage distance. However, for asphalt, a haulage distance of 250 km is assumed for the bitumen and 45 km for the aggregate. These can be adjusted through the manipulation of the calculations to reflect the project specific circumstances. The asPECT Software may also be used to determine more precisely the emission associated with a particular project's asphalt production, transport, and placement.</t>
  </si>
  <si>
    <r>
      <t xml:space="preserve">asPECT </t>
    </r>
    <r>
      <rPr>
        <i/>
        <sz val="11"/>
        <color theme="1"/>
        <rFont val="Aptos Narrow"/>
        <family val="2"/>
        <scheme val="minor"/>
      </rPr>
      <t>(useful for determination of more accurate factors for specific project asphalt mixes)</t>
    </r>
  </si>
  <si>
    <t>https://circularecology.com/concrete-embodied-carbon-footprint-calculator.html</t>
  </si>
  <si>
    <r>
      <t xml:space="preserve">Inventory of Carbon &amp; Energy (ICE) from Circular Ecology - </t>
    </r>
    <r>
      <rPr>
        <i/>
        <sz val="11"/>
        <color theme="1"/>
        <rFont val="Aptos Narrow"/>
        <family val="2"/>
        <scheme val="minor"/>
      </rPr>
      <t>(For the determination of more accurate factors for specific project concrete mixes)</t>
    </r>
  </si>
  <si>
    <t>Data sources of the primary carbon equivalent factors used in this spreadsheet</t>
  </si>
  <si>
    <t>Whilst efforts have been made to ensure the accuracy of the information contained in this spreadsheet, the content is subject to change and TRL Limited, the UK Foreign, Commonwealth &amp; Development Office (FCDO), and DT Global, and their affiliated organisations cannot guarantee its accuracy or currency. The right is reserved to make changes to the contents without notice.  TRL Limited, the UK Foreign, Commonwealth &amp; Development Office (FCDO), and DT Global, and their affiliated organisations  do not accept any liability for any direct, indirect, incidental or consequential losses arising from the the use of this tool. By using this tool, you are deemed to have consented to these conditions.</t>
  </si>
  <si>
    <r>
      <t>tCO</t>
    </r>
    <r>
      <rPr>
        <vertAlign val="subscript"/>
        <sz val="11"/>
        <color theme="1"/>
        <rFont val="Aptos Narrow"/>
        <family val="2"/>
        <scheme val="minor"/>
      </rPr>
      <t>2</t>
    </r>
    <r>
      <rPr>
        <sz val="11"/>
        <color theme="1"/>
        <rFont val="Aptos Narrow"/>
        <family val="2"/>
        <scheme val="minor"/>
      </rPr>
      <t>e/m</t>
    </r>
    <r>
      <rPr>
        <vertAlign val="superscript"/>
        <sz val="11"/>
        <color theme="1"/>
        <rFont val="Aptos Narrow"/>
        <family val="2"/>
        <scheme val="minor"/>
      </rPr>
      <t>2</t>
    </r>
  </si>
  <si>
    <r>
      <t>tCO</t>
    </r>
    <r>
      <rPr>
        <vertAlign val="subscript"/>
        <sz val="11"/>
        <color theme="1"/>
        <rFont val="Aptos Narrow"/>
        <family val="2"/>
        <scheme val="minor"/>
      </rPr>
      <t>2</t>
    </r>
    <r>
      <rPr>
        <sz val="11"/>
        <color theme="1"/>
        <rFont val="Aptos Narrow"/>
        <family val="2"/>
        <scheme val="minor"/>
      </rPr>
      <t>e/m</t>
    </r>
    <r>
      <rPr>
        <vertAlign val="superscript"/>
        <sz val="11"/>
        <color theme="1"/>
        <rFont val="Aptos Narrow"/>
        <family val="2"/>
        <scheme val="minor"/>
      </rPr>
      <t>3</t>
    </r>
  </si>
  <si>
    <r>
      <t>tCO</t>
    </r>
    <r>
      <rPr>
        <vertAlign val="subscript"/>
        <sz val="11"/>
        <color theme="1"/>
        <rFont val="Aptos Narrow"/>
        <family val="2"/>
        <scheme val="minor"/>
      </rPr>
      <t>2</t>
    </r>
    <r>
      <rPr>
        <sz val="11"/>
        <color theme="1"/>
        <rFont val="Aptos Narrow"/>
        <family val="2"/>
        <scheme val="minor"/>
      </rPr>
      <t>e/t</t>
    </r>
  </si>
  <si>
    <r>
      <t>tCO</t>
    </r>
    <r>
      <rPr>
        <vertAlign val="subscript"/>
        <sz val="11"/>
        <color theme="1"/>
        <rFont val="Aptos Narrow"/>
        <family val="2"/>
        <scheme val="minor"/>
      </rPr>
      <t>2</t>
    </r>
    <r>
      <rPr>
        <sz val="11"/>
        <color theme="1"/>
        <rFont val="Aptos Narrow"/>
        <family val="2"/>
        <scheme val="minor"/>
      </rPr>
      <t>e/t.km</t>
    </r>
  </si>
  <si>
    <r>
      <t>CO</t>
    </r>
    <r>
      <rPr>
        <b/>
        <vertAlign val="subscript"/>
        <sz val="11"/>
        <color theme="1"/>
        <rFont val="Aptos Narrow"/>
        <family val="2"/>
        <scheme val="minor"/>
      </rPr>
      <t>2</t>
    </r>
    <r>
      <rPr>
        <b/>
        <sz val="11"/>
        <color theme="1"/>
        <rFont val="Aptos Narrow"/>
        <family val="2"/>
        <scheme val="minor"/>
      </rPr>
      <t>e from material (tonne)</t>
    </r>
  </si>
  <si>
    <r>
      <t>CO</t>
    </r>
    <r>
      <rPr>
        <b/>
        <vertAlign val="subscript"/>
        <sz val="11"/>
        <color theme="1"/>
        <rFont val="Aptos Narrow"/>
        <family val="2"/>
        <scheme val="minor"/>
      </rPr>
      <t>2</t>
    </r>
    <r>
      <rPr>
        <b/>
        <sz val="11"/>
        <color theme="1"/>
        <rFont val="Aptos Narrow"/>
        <family val="2"/>
        <scheme val="minor"/>
      </rPr>
      <t xml:space="preserve"> from Transport of Materials (tonne)</t>
    </r>
  </si>
  <si>
    <r>
      <t>Total CO</t>
    </r>
    <r>
      <rPr>
        <b/>
        <vertAlign val="subscript"/>
        <sz val="11"/>
        <color theme="1"/>
        <rFont val="Aptos Narrow"/>
        <family val="2"/>
        <scheme val="minor"/>
      </rPr>
      <t>2</t>
    </r>
    <r>
      <rPr>
        <b/>
        <sz val="11"/>
        <color theme="1"/>
        <rFont val="Aptos Narrow"/>
        <family val="2"/>
        <scheme val="minor"/>
      </rPr>
      <t>e for layer (tonne)</t>
    </r>
  </si>
  <si>
    <r>
      <t>Sum of CO</t>
    </r>
    <r>
      <rPr>
        <b/>
        <vertAlign val="subscript"/>
        <sz val="11"/>
        <color theme="1"/>
        <rFont val="Aptos Narrow"/>
        <family val="2"/>
        <scheme val="minor"/>
      </rPr>
      <t>2</t>
    </r>
    <r>
      <rPr>
        <b/>
        <sz val="11"/>
        <color theme="1"/>
        <rFont val="Aptos Narrow"/>
        <family val="2"/>
        <scheme val="minor"/>
      </rPr>
      <t>e for the section (tonne)</t>
    </r>
  </si>
  <si>
    <r>
      <t>Initial CO</t>
    </r>
    <r>
      <rPr>
        <b/>
        <vertAlign val="subscript"/>
        <sz val="11"/>
        <color theme="1"/>
        <rFont val="Aptos Narrow"/>
        <family val="2"/>
        <scheme val="minor"/>
      </rPr>
      <t>2</t>
    </r>
    <r>
      <rPr>
        <b/>
        <sz val="11"/>
        <color theme="1"/>
        <rFont val="Aptos Narrow"/>
        <family val="2"/>
        <scheme val="minor"/>
      </rPr>
      <t>e (tonne)</t>
    </r>
  </si>
  <si>
    <r>
      <t>Reseal/Overlay/Inlay CO</t>
    </r>
    <r>
      <rPr>
        <b/>
        <vertAlign val="subscript"/>
        <sz val="11"/>
        <color theme="1"/>
        <rFont val="Aptos Narrow"/>
        <family val="2"/>
        <scheme val="minor"/>
      </rPr>
      <t>2</t>
    </r>
    <r>
      <rPr>
        <b/>
        <sz val="11"/>
        <color theme="1"/>
        <rFont val="Aptos Narrow"/>
        <family val="2"/>
        <scheme val="minor"/>
      </rPr>
      <t>e (tonne)</t>
    </r>
  </si>
  <si>
    <t>Lean mix concrete with GGBFS cement UCS 6/8 MPa</t>
  </si>
  <si>
    <t>Lean mix concrete with CEM I cement UCS 6/8 MPa</t>
  </si>
  <si>
    <t>Lean mix concrete with PFA cement UCS 6/8 MPa</t>
  </si>
  <si>
    <t>LMC</t>
  </si>
  <si>
    <t>LMC (30% PFA)</t>
  </si>
  <si>
    <t>Option Sums for All Sections (YYY Million)</t>
  </si>
  <si>
    <t>Overall Score of Each Option [%]</t>
  </si>
  <si>
    <t>A SCORE MUST BE ENTERED FOR THE SPREADSHEET TO FUNCTION CORRECTLY</t>
  </si>
  <si>
    <t>CB3 (25% GGBS)</t>
  </si>
  <si>
    <t>CB2 (25% GGBS)</t>
  </si>
  <si>
    <t>CB1 (25% GGBS)</t>
  </si>
  <si>
    <t>LMC (25% GGBS)</t>
  </si>
  <si>
    <t xml:space="preserve">25% GGBS replacement - C20/25 </t>
  </si>
  <si>
    <t xml:space="preserve">25% GGBS replacement - C25/30 </t>
  </si>
  <si>
    <t xml:space="preserve">25% GGBS replacement - C28/35 </t>
  </si>
  <si>
    <t xml:space="preserve">25% GGBS replacement - C32/40 </t>
  </si>
  <si>
    <t>25% GGBS replacement - C35/45</t>
  </si>
  <si>
    <t xml:space="preserve">25% GGBS replacement - C40/50 </t>
  </si>
  <si>
    <t>Concrete made with GGBS cement UCS 20/25 MPa</t>
  </si>
  <si>
    <t>Concrete made with GGBS cement UCS 25/30 MPa</t>
  </si>
  <si>
    <t>Concrete made with GGBS cement UCS 28/35 MPa</t>
  </si>
  <si>
    <t>Concrete made with GGBS cement UCS 32/40 MPa</t>
  </si>
  <si>
    <t>Concrete made with GGBS cement UCS 35/45 MPa</t>
  </si>
  <si>
    <t>Concrete made with GGBS cement UCS 40/40 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</si>
</sst>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_-* #,##0_-;\-* #,##0_-;_-* &quot;-&quot;??_-;_-@_-"/>
    <numFmt numFmtId="166" formatCode="_-* #,##0.0000000_-;\-* #,##0.0000000_-;_-* &quot;-&quot;??_-;_-@_-"/>
    <numFmt numFmtId="167" formatCode="0.00000000"/>
    <numFmt numFmtId="168" formatCode="0.0000000"/>
    <numFmt numFmtId="169" formatCode="0.00000"/>
    <numFmt numFmtId="170" formatCode="0.000000"/>
    <numFmt numFmtId="171" formatCode="0.0"/>
  </numFmts>
  <fonts count="17" x14ac:knownFonts="1">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vertAlign val="subscript"/>
      <sz val="11"/>
      <color theme="1"/>
      <name val="Aptos Narrow"/>
      <family val="2"/>
      <scheme val="minor"/>
    </font>
    <font>
      <sz val="11"/>
      <color theme="1"/>
      <name val="Aptos Narrow"/>
      <family val="2"/>
      <scheme val="minor"/>
    </font>
    <font>
      <b/>
      <vertAlign val="superscript"/>
      <sz val="11"/>
      <color theme="1"/>
      <name val="Aptos Narrow"/>
      <family val="2"/>
      <scheme val="minor"/>
    </font>
    <font>
      <b/>
      <sz val="11"/>
      <color rgb="FFFF0000"/>
      <name val="Aptos Narrow"/>
      <family val="2"/>
      <scheme val="minor"/>
    </font>
    <font>
      <b/>
      <i/>
      <sz val="11"/>
      <color theme="1"/>
      <name val="Aptos Narrow"/>
      <family val="2"/>
      <scheme val="minor"/>
    </font>
    <font>
      <vertAlign val="superscript"/>
      <sz val="11"/>
      <color theme="1"/>
      <name val="Aptos Narrow"/>
      <family val="2"/>
      <scheme val="minor"/>
    </font>
    <font>
      <b/>
      <sz val="16"/>
      <color theme="1"/>
      <name val="Aptos Narrow"/>
      <family val="2"/>
      <scheme val="minor"/>
    </font>
    <font>
      <sz val="9"/>
      <color indexed="81"/>
      <name val="Tahoma"/>
      <family val="2"/>
    </font>
    <font>
      <b/>
      <sz val="9"/>
      <color indexed="81"/>
      <name val="Tahoma"/>
      <family val="2"/>
    </font>
    <font>
      <b/>
      <sz val="12"/>
      <color rgb="FFFF0000"/>
      <name val="Aptos Narrow"/>
      <family val="2"/>
      <scheme val="minor"/>
    </font>
    <font>
      <sz val="12"/>
      <color theme="1"/>
      <name val="Calibri"/>
      <family val="2"/>
    </font>
    <font>
      <u/>
      <sz val="11"/>
      <color theme="10"/>
      <name val="Aptos Narrow"/>
      <family val="2"/>
      <scheme val="minor"/>
    </font>
    <font>
      <b/>
      <vertAlign val="subscript"/>
      <sz val="11"/>
      <color theme="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lightUp">
        <fgColor rgb="FFFF0000"/>
      </patternFill>
    </fill>
    <fill>
      <patternFill patternType="solid">
        <fgColor theme="5" tint="0.59999389629810485"/>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5" fillId="0" borderId="0" applyFont="0" applyFill="0" applyBorder="0" applyAlignment="0" applyProtection="0"/>
    <xf numFmtId="0" fontId="15" fillId="0" borderId="0" applyNumberFormat="0" applyFill="0" applyBorder="0" applyAlignment="0" applyProtection="0"/>
  </cellStyleXfs>
  <cellXfs count="176">
    <xf numFmtId="0" fontId="0" fillId="0" borderId="0" xfId="0"/>
    <xf numFmtId="0" fontId="0" fillId="0" borderId="1" xfId="0" applyBorder="1"/>
    <xf numFmtId="0" fontId="1" fillId="0" borderId="1" xfId="0" applyFont="1" applyBorder="1"/>
    <xf numFmtId="0" fontId="1" fillId="0" borderId="1" xfId="0" applyFont="1" applyBorder="1" applyAlignment="1">
      <alignment wrapText="1"/>
    </xf>
    <xf numFmtId="0" fontId="0" fillId="0" borderId="1" xfId="0" applyBorder="1" applyAlignment="1">
      <alignment wrapText="1"/>
    </xf>
    <xf numFmtId="0" fontId="0" fillId="0" borderId="1" xfId="0"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right"/>
    </xf>
    <xf numFmtId="0" fontId="1" fillId="0" borderId="1" xfId="0" applyFont="1" applyBorder="1" applyAlignment="1">
      <alignment horizontal="right" wrapText="1"/>
    </xf>
    <xf numFmtId="0" fontId="1" fillId="0" borderId="0" xfId="0" applyFont="1" applyAlignment="1">
      <alignment wrapText="1"/>
    </xf>
    <xf numFmtId="0" fontId="1" fillId="0" borderId="1" xfId="0" applyFont="1" applyBorder="1" applyAlignment="1">
      <alignment vertical="top" wrapText="1"/>
    </xf>
    <xf numFmtId="0" fontId="7" fillId="0" borderId="0" xfId="0" applyFont="1"/>
    <xf numFmtId="0" fontId="0" fillId="0" borderId="0" xfId="0" applyAlignment="1">
      <alignment horizontal="center" vertical="center"/>
    </xf>
    <xf numFmtId="165" fontId="0" fillId="0" borderId="0" xfId="1" applyNumberFormat="1" applyFont="1" applyBorder="1"/>
    <xf numFmtId="0" fontId="0" fillId="0" borderId="8" xfId="0" applyBorder="1"/>
    <xf numFmtId="0" fontId="0" fillId="2" borderId="1" xfId="0" applyFill="1" applyBorder="1"/>
    <xf numFmtId="0" fontId="8" fillId="0" borderId="2" xfId="0" applyFont="1" applyBorder="1"/>
    <xf numFmtId="0" fontId="3" fillId="0" borderId="2" xfId="0" applyFont="1" applyBorder="1"/>
    <xf numFmtId="0" fontId="1" fillId="0" borderId="0" xfId="0" applyFont="1"/>
    <xf numFmtId="0" fontId="0" fillId="2" borderId="1" xfId="0" applyFill="1" applyBorder="1" applyAlignment="1">
      <alignment wrapText="1"/>
    </xf>
    <xf numFmtId="0" fontId="1" fillId="2" borderId="1" xfId="0" applyFont="1" applyFill="1" applyBorder="1" applyAlignment="1">
      <alignment vertical="center"/>
    </xf>
    <xf numFmtId="0" fontId="0" fillId="0" borderId="1" xfId="0" applyBorder="1" applyAlignment="1">
      <alignment horizontal="left"/>
    </xf>
    <xf numFmtId="0" fontId="1" fillId="0" borderId="0" xfId="0" applyFont="1" applyAlignment="1">
      <alignment horizontal="right"/>
    </xf>
    <xf numFmtId="164" fontId="0" fillId="0" borderId="8" xfId="0" applyNumberFormat="1" applyBorder="1"/>
    <xf numFmtId="164" fontId="0" fillId="0" borderId="0" xfId="0" applyNumberFormat="1"/>
    <xf numFmtId="0" fontId="0" fillId="3" borderId="1" xfId="0" applyFill="1" applyBorder="1" applyAlignment="1">
      <alignment wrapText="1"/>
    </xf>
    <xf numFmtId="164" fontId="0" fillId="0" borderId="0" xfId="0" applyNumberFormat="1" applyAlignment="1">
      <alignment horizontal="left"/>
    </xf>
    <xf numFmtId="0" fontId="0" fillId="0" borderId="2" xfId="0" applyBorder="1"/>
    <xf numFmtId="43" fontId="0" fillId="0" borderId="0" xfId="0" applyNumberFormat="1"/>
    <xf numFmtId="0" fontId="0" fillId="5" borderId="0" xfId="0" applyFill="1"/>
    <xf numFmtId="0" fontId="0" fillId="0" borderId="0" xfId="0" applyAlignment="1">
      <alignment vertical="top" wrapText="1"/>
    </xf>
    <xf numFmtId="0" fontId="1" fillId="0" borderId="0" xfId="0" applyFont="1" applyAlignment="1">
      <alignment vertical="top"/>
    </xf>
    <xf numFmtId="168" fontId="0" fillId="0" borderId="0" xfId="0" applyNumberFormat="1"/>
    <xf numFmtId="169" fontId="0" fillId="0" borderId="0" xfId="0" applyNumberFormat="1"/>
    <xf numFmtId="3" fontId="0" fillId="0" borderId="0" xfId="0" applyNumberFormat="1"/>
    <xf numFmtId="0" fontId="7" fillId="0" borderId="0" xfId="0" applyFont="1" applyAlignment="1">
      <alignment vertical="top"/>
    </xf>
    <xf numFmtId="0" fontId="0" fillId="0" borderId="1" xfId="0" applyBorder="1" applyAlignment="1">
      <alignment vertical="top"/>
    </xf>
    <xf numFmtId="0" fontId="0" fillId="6" borderId="1" xfId="0" applyFill="1" applyBorder="1" applyAlignment="1">
      <alignment wrapText="1"/>
    </xf>
    <xf numFmtId="0" fontId="0" fillId="6" borderId="1" xfId="0" applyFill="1" applyBorder="1" applyAlignment="1">
      <alignment vertical="top" wrapText="1"/>
    </xf>
    <xf numFmtId="170" fontId="0" fillId="0" borderId="0" xfId="0" applyNumberFormat="1"/>
    <xf numFmtId="164" fontId="0" fillId="2" borderId="1" xfId="0" applyNumberFormat="1" applyFill="1" applyBorder="1" applyAlignment="1" applyProtection="1">
      <alignment wrapText="1"/>
      <protection hidden="1"/>
    </xf>
    <xf numFmtId="164" fontId="0" fillId="2" borderId="1" xfId="0" applyNumberFormat="1" applyFill="1" applyBorder="1" applyProtection="1">
      <protection hidden="1"/>
    </xf>
    <xf numFmtId="0" fontId="0" fillId="2" borderId="1" xfId="0" applyFill="1" applyBorder="1" applyProtection="1">
      <protection hidden="1"/>
    </xf>
    <xf numFmtId="1" fontId="0" fillId="2" borderId="1" xfId="0" applyNumberFormat="1" applyFill="1" applyBorder="1" applyProtection="1">
      <protection hidden="1"/>
    </xf>
    <xf numFmtId="1" fontId="0" fillId="2" borderId="1" xfId="0" applyNumberFormat="1" applyFill="1" applyBorder="1" applyAlignment="1" applyProtection="1">
      <alignment wrapText="1"/>
      <protection hidden="1"/>
    </xf>
    <xf numFmtId="0" fontId="0" fillId="2" borderId="1" xfId="0" applyFill="1" applyBorder="1" applyAlignment="1" applyProtection="1">
      <alignment wrapText="1"/>
      <protection hidden="1"/>
    </xf>
    <xf numFmtId="0" fontId="1" fillId="0" borderId="1" xfId="0" applyFont="1" applyBorder="1" applyProtection="1">
      <protection hidden="1"/>
    </xf>
    <xf numFmtId="1" fontId="1" fillId="0" borderId="1" xfId="0" applyNumberFormat="1" applyFont="1" applyBorder="1" applyProtection="1">
      <protection hidden="1"/>
    </xf>
    <xf numFmtId="2" fontId="7" fillId="2" borderId="1" xfId="0" applyNumberFormat="1" applyFont="1" applyFill="1" applyBorder="1" applyProtection="1">
      <protection hidden="1"/>
    </xf>
    <xf numFmtId="0" fontId="0" fillId="0" borderId="1" xfId="0" applyBorder="1" applyProtection="1">
      <protection hidden="1"/>
    </xf>
    <xf numFmtId="0" fontId="1" fillId="2" borderId="1" xfId="0" applyFont="1" applyFill="1" applyBorder="1" applyProtection="1">
      <protection hidden="1"/>
    </xf>
    <xf numFmtId="0" fontId="0" fillId="0" borderId="0" xfId="0" applyProtection="1">
      <protection hidden="1"/>
    </xf>
    <xf numFmtId="0" fontId="0" fillId="2" borderId="0" xfId="0" applyFill="1" applyProtection="1">
      <protection hidden="1"/>
    </xf>
    <xf numFmtId="0" fontId="7" fillId="0" borderId="0" xfId="0" applyFont="1" applyProtection="1">
      <protection hidden="1"/>
    </xf>
    <xf numFmtId="0" fontId="1" fillId="0" borderId="1" xfId="0" applyFont="1" applyBorder="1" applyAlignment="1" applyProtection="1">
      <alignment vertical="top" wrapText="1"/>
      <protection hidden="1"/>
    </xf>
    <xf numFmtId="164" fontId="0" fillId="2" borderId="1" xfId="0" applyNumberFormat="1" applyFill="1" applyBorder="1" applyAlignment="1" applyProtection="1">
      <alignment horizontal="right"/>
      <protection hidden="1"/>
    </xf>
    <xf numFmtId="164" fontId="10" fillId="2" borderId="1" xfId="0" applyNumberFormat="1" applyFont="1" applyFill="1" applyBorder="1" applyAlignment="1" applyProtection="1">
      <alignment horizontal="center"/>
      <protection hidden="1"/>
    </xf>
    <xf numFmtId="2" fontId="0" fillId="2" borderId="1" xfId="0" applyNumberFormat="1" applyFill="1" applyBorder="1" applyProtection="1">
      <protection hidden="1"/>
    </xf>
    <xf numFmtId="2" fontId="0" fillId="2" borderId="1" xfId="0" applyNumberFormat="1" applyFill="1" applyBorder="1" applyAlignment="1" applyProtection="1">
      <alignment horizontal="right"/>
      <protection hidden="1"/>
    </xf>
    <xf numFmtId="1" fontId="10" fillId="2" borderId="1" xfId="0" applyNumberFormat="1" applyFont="1" applyFill="1" applyBorder="1" applyAlignment="1" applyProtection="1">
      <alignment horizontal="center"/>
      <protection hidden="1"/>
    </xf>
    <xf numFmtId="164" fontId="1" fillId="2" borderId="1" xfId="0" applyNumberFormat="1" applyFont="1" applyFill="1" applyBorder="1" applyProtection="1">
      <protection hidden="1"/>
    </xf>
    <xf numFmtId="164" fontId="0" fillId="2" borderId="5" xfId="0" applyNumberFormat="1" applyFill="1" applyBorder="1" applyProtection="1">
      <protection hidden="1"/>
    </xf>
    <xf numFmtId="164" fontId="13" fillId="2" borderId="1" xfId="0" applyNumberFormat="1" applyFont="1" applyFill="1" applyBorder="1" applyProtection="1">
      <protection hidden="1"/>
    </xf>
    <xf numFmtId="1" fontId="1" fillId="2" borderId="1" xfId="0" applyNumberFormat="1" applyFont="1" applyFill="1" applyBorder="1" applyProtection="1">
      <protection hidden="1"/>
    </xf>
    <xf numFmtId="1" fontId="0" fillId="2" borderId="5" xfId="0" applyNumberFormat="1" applyFill="1" applyBorder="1" applyProtection="1">
      <protection hidden="1"/>
    </xf>
    <xf numFmtId="1" fontId="13" fillId="2" borderId="1" xfId="0" applyNumberFormat="1" applyFont="1" applyFill="1" applyBorder="1" applyProtection="1">
      <protection hidden="1"/>
    </xf>
    <xf numFmtId="166" fontId="5" fillId="2" borderId="1" xfId="1" applyNumberFormat="1" applyFont="1" applyFill="1" applyBorder="1" applyProtection="1">
      <protection hidden="1"/>
    </xf>
    <xf numFmtId="166" fontId="0" fillId="2" borderId="1" xfId="0" applyNumberFormat="1" applyFill="1" applyBorder="1" applyProtection="1">
      <protection hidden="1"/>
    </xf>
    <xf numFmtId="167" fontId="0" fillId="2" borderId="1" xfId="0" applyNumberFormat="1" applyFill="1" applyBorder="1" applyProtection="1">
      <protection hidden="1"/>
    </xf>
    <xf numFmtId="0" fontId="0" fillId="5" borderId="1" xfId="0" applyFill="1" applyBorder="1" applyProtection="1">
      <protection hidden="1"/>
    </xf>
    <xf numFmtId="168" fontId="0" fillId="2" borderId="1" xfId="0" applyNumberFormat="1" applyFill="1" applyBorder="1" applyProtection="1">
      <protection hidden="1"/>
    </xf>
    <xf numFmtId="170" fontId="0" fillId="2" borderId="1" xfId="0" applyNumberFormat="1" applyFill="1" applyBorder="1" applyProtection="1">
      <protection hidden="1"/>
    </xf>
    <xf numFmtId="168" fontId="0" fillId="0" borderId="0" xfId="0" applyNumberFormat="1" applyProtection="1">
      <protection hidden="1"/>
    </xf>
    <xf numFmtId="169" fontId="0" fillId="2" borderId="1" xfId="0" applyNumberFormat="1" applyFill="1" applyBorder="1" applyProtection="1">
      <protection hidden="1"/>
    </xf>
    <xf numFmtId="0" fontId="0" fillId="2" borderId="3" xfId="0" applyFill="1" applyBorder="1" applyProtection="1">
      <protection hidden="1"/>
    </xf>
    <xf numFmtId="0" fontId="0" fillId="0" borderId="3" xfId="0" applyBorder="1" applyProtection="1">
      <protection hidden="1"/>
    </xf>
    <xf numFmtId="164" fontId="0" fillId="0" borderId="1" xfId="0" applyNumberFormat="1" applyBorder="1" applyProtection="1">
      <protection hidden="1"/>
    </xf>
    <xf numFmtId="0" fontId="0" fillId="2" borderId="1" xfId="0" applyFill="1" applyBorder="1" applyAlignment="1">
      <alignment vertical="top" wrapText="1"/>
    </xf>
    <xf numFmtId="165" fontId="0" fillId="3" borderId="1" xfId="1" applyNumberFormat="1" applyFont="1" applyFill="1" applyBorder="1" applyProtection="1">
      <protection locked="0"/>
    </xf>
    <xf numFmtId="165" fontId="0" fillId="0" borderId="1" xfId="1" applyNumberFormat="1" applyFont="1" applyFill="1" applyBorder="1" applyProtection="1">
      <protection locked="0"/>
    </xf>
    <xf numFmtId="0" fontId="0" fillId="4" borderId="1" xfId="0" applyFill="1" applyBorder="1" applyProtection="1">
      <protection locked="0"/>
    </xf>
    <xf numFmtId="0" fontId="0" fillId="3" borderId="1" xfId="0" applyFill="1" applyBorder="1" applyProtection="1">
      <protection locked="0"/>
    </xf>
    <xf numFmtId="165" fontId="0" fillId="0" borderId="1" xfId="1" applyNumberFormat="1" applyFont="1" applyBorder="1" applyProtection="1">
      <protection locked="0"/>
    </xf>
    <xf numFmtId="164" fontId="0" fillId="3" borderId="1" xfId="0" applyNumberFormat="1" applyFill="1" applyBorder="1" applyAlignment="1" applyProtection="1">
      <alignment wrapText="1"/>
      <protection locked="0"/>
    </xf>
    <xf numFmtId="0" fontId="0" fillId="3" borderId="1" xfId="0" applyFill="1" applyBorder="1" applyAlignment="1" applyProtection="1">
      <alignment wrapText="1"/>
      <protection locked="0"/>
    </xf>
    <xf numFmtId="2" fontId="1" fillId="3" borderId="1" xfId="0" applyNumberFormat="1" applyFont="1" applyFill="1" applyBorder="1" applyProtection="1">
      <protection locked="0"/>
    </xf>
    <xf numFmtId="0" fontId="1" fillId="7" borderId="1" xfId="0" applyFont="1" applyFill="1" applyBorder="1" applyProtection="1">
      <protection locked="0"/>
    </xf>
    <xf numFmtId="1" fontId="0" fillId="3" borderId="1" xfId="0" applyNumberFormat="1" applyFill="1" applyBorder="1" applyAlignment="1" applyProtection="1">
      <alignment wrapText="1"/>
      <protection locked="0"/>
    </xf>
    <xf numFmtId="168" fontId="0" fillId="8" borderId="1" xfId="0" applyNumberFormat="1" applyFill="1" applyBorder="1" applyProtection="1">
      <protection locked="0"/>
    </xf>
    <xf numFmtId="168" fontId="0" fillId="8" borderId="0" xfId="0" applyNumberFormat="1" applyFill="1" applyProtection="1">
      <protection locked="0"/>
    </xf>
    <xf numFmtId="168" fontId="0" fillId="8" borderId="2" xfId="0" applyNumberFormat="1" applyFill="1" applyBorder="1" applyProtection="1">
      <protection locked="0"/>
    </xf>
    <xf numFmtId="0" fontId="0" fillId="8" borderId="4" xfId="0" applyFill="1" applyBorder="1" applyProtection="1">
      <protection locked="0"/>
    </xf>
    <xf numFmtId="0" fontId="0" fillId="8" borderId="1" xfId="0" applyFill="1" applyBorder="1" applyProtection="1">
      <protection locked="0"/>
    </xf>
    <xf numFmtId="168" fontId="0" fillId="0" borderId="2" xfId="0" applyNumberFormat="1" applyBorder="1" applyProtection="1">
      <protection locked="0"/>
    </xf>
    <xf numFmtId="168" fontId="0" fillId="0" borderId="0" xfId="0" applyNumberFormat="1" applyProtection="1">
      <protection locked="0"/>
    </xf>
    <xf numFmtId="0" fontId="0" fillId="0" borderId="0" xfId="0" applyProtection="1">
      <protection locked="0"/>
    </xf>
    <xf numFmtId="1" fontId="0" fillId="0" borderId="1" xfId="0" applyNumberFormat="1" applyBorder="1" applyProtection="1">
      <protection locked="0"/>
    </xf>
    <xf numFmtId="164" fontId="0" fillId="0" borderId="1" xfId="0" applyNumberFormat="1" applyBorder="1" applyProtection="1">
      <protection locked="0"/>
    </xf>
    <xf numFmtId="0" fontId="0" fillId="0" borderId="1" xfId="0" applyBorder="1" applyAlignment="1" applyProtection="1">
      <alignment horizontal="left" vertical="center"/>
      <protection locked="0"/>
    </xf>
    <xf numFmtId="0" fontId="0" fillId="0" borderId="1" xfId="0" applyBorder="1" applyProtection="1">
      <protection locked="0"/>
    </xf>
    <xf numFmtId="1" fontId="0" fillId="3" borderId="1" xfId="0" applyNumberFormat="1" applyFill="1" applyBorder="1" applyProtection="1">
      <protection locked="0"/>
    </xf>
    <xf numFmtId="1" fontId="0" fillId="3" borderId="1" xfId="0" applyNumberFormat="1" applyFill="1" applyBorder="1" applyAlignment="1" applyProtection="1">
      <alignment horizontal="right"/>
      <protection locked="0"/>
    </xf>
    <xf numFmtId="0" fontId="1" fillId="0" borderId="1" xfId="0" applyFont="1" applyBorder="1" applyAlignment="1" applyProtection="1">
      <alignment vertical="top" wrapText="1"/>
      <protection locked="0"/>
    </xf>
    <xf numFmtId="165" fontId="5" fillId="0" borderId="1" xfId="1" applyNumberFormat="1" applyFont="1" applyBorder="1" applyProtection="1">
      <protection locked="0"/>
    </xf>
    <xf numFmtId="0" fontId="7" fillId="0" borderId="0" xfId="0" applyFont="1" applyProtection="1">
      <protection locked="0"/>
    </xf>
    <xf numFmtId="0" fontId="1" fillId="0" borderId="1" xfId="0" applyFont="1" applyBorder="1" applyAlignment="1" applyProtection="1">
      <alignment vertical="top"/>
      <protection locked="0"/>
    </xf>
    <xf numFmtId="0" fontId="1" fillId="0" borderId="1" xfId="0" applyFont="1" applyBorder="1" applyProtection="1">
      <protection locked="0"/>
    </xf>
    <xf numFmtId="171" fontId="1" fillId="0" borderId="1" xfId="0" applyNumberFormat="1" applyFont="1" applyBorder="1" applyProtection="1">
      <protection hidden="1"/>
    </xf>
    <xf numFmtId="165" fontId="0" fillId="2" borderId="1" xfId="1" applyNumberFormat="1" applyFont="1" applyFill="1" applyBorder="1" applyAlignment="1" applyProtection="1">
      <alignment wrapText="1"/>
      <protection hidden="1"/>
    </xf>
    <xf numFmtId="165" fontId="0" fillId="2" borderId="1" xfId="1" applyNumberFormat="1" applyFont="1" applyFill="1" applyBorder="1" applyProtection="1">
      <protection hidden="1"/>
    </xf>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xf numFmtId="0" fontId="0" fillId="0" borderId="17" xfId="0" applyBorder="1"/>
    <xf numFmtId="0" fontId="0" fillId="0" borderId="18" xfId="0" applyBorder="1"/>
    <xf numFmtId="0" fontId="0" fillId="0" borderId="19" xfId="0" applyBorder="1"/>
    <xf numFmtId="0" fontId="0" fillId="0" borderId="20" xfId="0" applyBorder="1"/>
    <xf numFmtId="0" fontId="0" fillId="0" borderId="1" xfId="0" applyBorder="1" applyAlignment="1">
      <alignment horizontal="left" wrapText="1"/>
    </xf>
    <xf numFmtId="0" fontId="15" fillId="0" borderId="2" xfId="2" applyBorder="1" applyAlignment="1">
      <alignment vertical="center" wrapText="1"/>
    </xf>
    <xf numFmtId="0" fontId="15" fillId="0" borderId="7" xfId="2" applyBorder="1" applyAlignment="1">
      <alignment vertical="center" wrapText="1"/>
    </xf>
    <xf numFmtId="0" fontId="15" fillId="0" borderId="3" xfId="2" applyBorder="1" applyAlignment="1">
      <alignment vertical="center"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7" fillId="0" borderId="0" xfId="0" applyFont="1" applyAlignment="1">
      <alignment vertical="top" wrapText="1"/>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15" fillId="0" borderId="1" xfId="2" applyBorder="1" applyAlignment="1">
      <alignment vertical="center" wrapText="1"/>
    </xf>
    <xf numFmtId="0" fontId="14" fillId="0" borderId="1" xfId="0" applyFont="1" applyBorder="1" applyAlignment="1">
      <alignment vertical="center" wrapText="1"/>
    </xf>
    <xf numFmtId="0" fontId="15" fillId="0" borderId="1" xfId="2" applyBorder="1" applyAlignment="1">
      <alignment vertical="center"/>
    </xf>
    <xf numFmtId="0" fontId="0" fillId="0" borderId="1" xfId="0" applyBorder="1" applyAlignment="1">
      <alignment vertic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left" vertical="top" wrapText="1"/>
    </xf>
    <xf numFmtId="164" fontId="10" fillId="2" borderId="5" xfId="0" applyNumberFormat="1" applyFont="1" applyFill="1" applyBorder="1" applyAlignment="1" applyProtection="1">
      <alignment horizontal="center" vertical="center"/>
      <protection hidden="1"/>
    </xf>
    <xf numFmtId="164" fontId="10" fillId="2" borderId="4" xfId="0" applyNumberFormat="1" applyFont="1" applyFill="1" applyBorder="1" applyAlignment="1" applyProtection="1">
      <alignment horizontal="center" vertical="center"/>
      <protection hidden="1"/>
    </xf>
    <xf numFmtId="164" fontId="10" fillId="2" borderId="6" xfId="0" applyNumberFormat="1" applyFont="1" applyFill="1" applyBorder="1" applyAlignment="1" applyProtection="1">
      <alignment horizontal="center" vertical="center"/>
      <protection hidden="1"/>
    </xf>
    <xf numFmtId="0" fontId="0" fillId="0" borderId="5"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1" fontId="10" fillId="2" borderId="5" xfId="0" applyNumberFormat="1" applyFont="1" applyFill="1" applyBorder="1" applyAlignment="1" applyProtection="1">
      <alignment horizontal="center" vertical="center"/>
      <protection hidden="1"/>
    </xf>
    <xf numFmtId="1" fontId="10" fillId="2" borderId="4" xfId="0" applyNumberFormat="1" applyFont="1" applyFill="1" applyBorder="1" applyAlignment="1" applyProtection="1">
      <alignment horizontal="center" vertical="center"/>
      <protection hidden="1"/>
    </xf>
    <xf numFmtId="1" fontId="10" fillId="2" borderId="6" xfId="0" applyNumberFormat="1" applyFont="1" applyFill="1" applyBorder="1" applyAlignment="1" applyProtection="1">
      <alignment horizontal="center" vertical="center"/>
      <protection hidden="1"/>
    </xf>
    <xf numFmtId="0" fontId="0" fillId="0" borderId="2" xfId="0" applyBorder="1" applyAlignment="1">
      <alignment vertical="center"/>
    </xf>
    <xf numFmtId="0" fontId="0" fillId="0" borderId="7" xfId="0" applyBorder="1" applyAlignment="1">
      <alignment vertical="center"/>
    </xf>
    <xf numFmtId="0" fontId="0" fillId="0" borderId="3" xfId="0" applyBorder="1" applyAlignment="1">
      <alignment vertical="center"/>
    </xf>
    <xf numFmtId="164" fontId="0" fillId="2" borderId="5" xfId="0" applyNumberFormat="1" applyFill="1" applyBorder="1" applyAlignment="1" applyProtection="1">
      <alignment horizontal="center"/>
      <protection hidden="1"/>
    </xf>
    <xf numFmtId="164" fontId="0" fillId="2" borderId="4" xfId="0" applyNumberFormat="1" applyFill="1" applyBorder="1" applyAlignment="1" applyProtection="1">
      <alignment horizontal="center"/>
      <protection hidden="1"/>
    </xf>
    <xf numFmtId="164" fontId="0" fillId="2" borderId="6" xfId="0" applyNumberFormat="1" applyFill="1" applyBorder="1" applyAlignment="1" applyProtection="1">
      <alignment horizontal="center"/>
      <protection hidden="1"/>
    </xf>
    <xf numFmtId="0" fontId="1" fillId="0" borderId="1" xfId="0" applyFont="1" applyBorder="1" applyAlignment="1" applyProtection="1">
      <alignment horizontal="center" vertical="top" wrapText="1"/>
      <protection locked="0"/>
    </xf>
    <xf numFmtId="0" fontId="10" fillId="0" borderId="1" xfId="0" applyFont="1" applyBorder="1" applyAlignment="1">
      <alignment horizontal="center" vertical="center" textRotation="90"/>
    </xf>
    <xf numFmtId="0" fontId="1" fillId="0" borderId="1" xfId="0" applyFont="1" applyBorder="1" applyAlignment="1">
      <alignment horizontal="left" vertical="top"/>
    </xf>
    <xf numFmtId="0" fontId="1" fillId="0" borderId="9" xfId="0" applyFont="1" applyBorder="1" applyAlignment="1">
      <alignment horizontal="center" vertical="top"/>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1" fontId="0" fillId="2" borderId="5" xfId="0" applyNumberFormat="1" applyFill="1" applyBorder="1" applyAlignment="1" applyProtection="1">
      <alignment horizontal="center"/>
      <protection hidden="1"/>
    </xf>
    <xf numFmtId="1" fontId="0" fillId="2" borderId="4" xfId="0" applyNumberFormat="1" applyFill="1" applyBorder="1" applyAlignment="1" applyProtection="1">
      <alignment horizontal="center"/>
      <protection hidden="1"/>
    </xf>
    <xf numFmtId="1" fontId="0" fillId="2" borderId="6" xfId="0" applyNumberFormat="1" applyFill="1" applyBorder="1" applyAlignment="1" applyProtection="1">
      <alignment horizontal="center"/>
      <protection hidden="1"/>
    </xf>
    <xf numFmtId="0" fontId="1" fillId="0" borderId="1" xfId="0" applyFont="1" applyBorder="1" applyAlignment="1">
      <alignment horizontal="center" vertical="top" wrapText="1"/>
    </xf>
    <xf numFmtId="0" fontId="0" fillId="0" borderId="1" xfId="0" applyBorder="1" applyAlignment="1">
      <alignment horizontal="center" vertical="center"/>
    </xf>
    <xf numFmtId="0" fontId="0" fillId="0" borderId="0" xfId="0"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8788</xdr:colOff>
      <xdr:row>20</xdr:row>
      <xdr:rowOff>63501</xdr:rowOff>
    </xdr:from>
    <xdr:to>
      <xdr:col>2</xdr:col>
      <xdr:colOff>2086213</xdr:colOff>
      <xdr:row>24</xdr:row>
      <xdr:rowOff>38100</xdr:rowOff>
    </xdr:to>
    <xdr:pic>
      <xdr:nvPicPr>
        <xdr:cNvPr id="4" name="Picture 3">
          <a:extLst>
            <a:ext uri="{FF2B5EF4-FFF2-40B4-BE49-F238E27FC236}">
              <a16:creationId xmlns:a16="http://schemas.microsoft.com/office/drawing/2014/main" id="{113CBB55-51A0-8647-F297-6ED1959B0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7988" y="3549651"/>
          <a:ext cx="2077425" cy="698499"/>
        </a:xfrm>
        <a:prstGeom prst="rect">
          <a:avLst/>
        </a:prstGeom>
      </xdr:spPr>
    </xdr:pic>
    <xdr:clientData/>
  </xdr:twoCellAnchor>
  <xdr:twoCellAnchor editAs="oneCell">
    <xdr:from>
      <xdr:col>7</xdr:col>
      <xdr:colOff>581769</xdr:colOff>
      <xdr:row>20</xdr:row>
      <xdr:rowOff>168276</xdr:rowOff>
    </xdr:from>
    <xdr:to>
      <xdr:col>10</xdr:col>
      <xdr:colOff>514555</xdr:colOff>
      <xdr:row>23</xdr:row>
      <xdr:rowOff>104775</xdr:rowOff>
    </xdr:to>
    <xdr:pic>
      <xdr:nvPicPr>
        <xdr:cNvPr id="5" name="Picture 4">
          <a:extLst>
            <a:ext uri="{FF2B5EF4-FFF2-40B4-BE49-F238E27FC236}">
              <a16:creationId xmlns:a16="http://schemas.microsoft.com/office/drawing/2014/main" id="{6880F5D7-9172-0BA3-D688-21A6AA7D65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82644" y="3654426"/>
          <a:ext cx="1761586" cy="479424"/>
        </a:xfrm>
        <a:prstGeom prst="rect">
          <a:avLst/>
        </a:prstGeom>
      </xdr:spPr>
    </xdr:pic>
    <xdr:clientData/>
  </xdr:twoCellAnchor>
  <xdr:twoCellAnchor editAs="oneCell">
    <xdr:from>
      <xdr:col>4</xdr:col>
      <xdr:colOff>212724</xdr:colOff>
      <xdr:row>21</xdr:row>
      <xdr:rowOff>28575</xdr:rowOff>
    </xdr:from>
    <xdr:to>
      <xdr:col>7</xdr:col>
      <xdr:colOff>439051</xdr:colOff>
      <xdr:row>23</xdr:row>
      <xdr:rowOff>85724</xdr:rowOff>
    </xdr:to>
    <xdr:pic>
      <xdr:nvPicPr>
        <xdr:cNvPr id="6" name="Picture 5">
          <a:extLst>
            <a:ext uri="{FF2B5EF4-FFF2-40B4-BE49-F238E27FC236}">
              <a16:creationId xmlns:a16="http://schemas.microsoft.com/office/drawing/2014/main" id="{5C700F94-9466-2803-BCC5-AC2E2610BAB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84799" y="3695700"/>
          <a:ext cx="2055127" cy="419099"/>
        </a:xfrm>
        <a:prstGeom prst="rect">
          <a:avLst/>
        </a:prstGeom>
        <a:noFill/>
      </xdr:spPr>
    </xdr:pic>
    <xdr:clientData/>
  </xdr:twoCellAnchor>
  <xdr:twoCellAnchor editAs="oneCell">
    <xdr:from>
      <xdr:col>2</xdr:col>
      <xdr:colOff>2181225</xdr:colOff>
      <xdr:row>21</xdr:row>
      <xdr:rowOff>6350</xdr:rowOff>
    </xdr:from>
    <xdr:to>
      <xdr:col>4</xdr:col>
      <xdr:colOff>55880</xdr:colOff>
      <xdr:row>23</xdr:row>
      <xdr:rowOff>173355</xdr:rowOff>
    </xdr:to>
    <xdr:pic>
      <xdr:nvPicPr>
        <xdr:cNvPr id="7" name="Picture 6">
          <a:extLst>
            <a:ext uri="{FF2B5EF4-FFF2-40B4-BE49-F238E27FC236}">
              <a16:creationId xmlns:a16="http://schemas.microsoft.com/office/drawing/2014/main" id="{C0B5A9CB-617F-90A0-D9C7-721B5B0844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00425" y="3673475"/>
          <a:ext cx="1827530" cy="52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map.org/node/70768" TargetMode="External"/><Relationship Id="rId2" Type="http://schemas.openxmlformats.org/officeDocument/2006/relationships/hyperlink" Target="https://www.trl.co.uk/solutions/climate-change-and-sustainability/asphalt-pavement-embodied-carbon-tool" TargetMode="External"/><Relationship Id="rId1" Type="http://schemas.openxmlformats.org/officeDocument/2006/relationships/hyperlink" Target="https://circularecology.com/resources.html" TargetMode="External"/><Relationship Id="rId5" Type="http://schemas.openxmlformats.org/officeDocument/2006/relationships/drawing" Target="../drawings/drawing1.xml"/><Relationship Id="rId4" Type="http://schemas.openxmlformats.org/officeDocument/2006/relationships/hyperlink" Target="https://circularecology.com/concrete-embodied-carbon-footprint-calculator.html"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D049-8B41-4A7D-974A-47100C79B3D7}">
  <sheetPr>
    <tabColor rgb="FFFF0000"/>
  </sheetPr>
  <dimension ref="C2:M28"/>
  <sheetViews>
    <sheetView workbookViewId="0">
      <selection activeCell="Q17" sqref="Q17"/>
    </sheetView>
  </sheetViews>
  <sheetFormatPr defaultRowHeight="14.5" x14ac:dyDescent="0.35"/>
  <cols>
    <col min="3" max="3" width="47.81640625" customWidth="1"/>
  </cols>
  <sheetData>
    <row r="2" spans="3:13" ht="15" thickBot="1" x14ac:dyDescent="0.4"/>
    <row r="3" spans="3:13" x14ac:dyDescent="0.35">
      <c r="C3" s="123" t="s">
        <v>289</v>
      </c>
      <c r="D3" s="124"/>
      <c r="E3" s="124"/>
      <c r="F3" s="124"/>
      <c r="G3" s="124"/>
      <c r="H3" s="124"/>
      <c r="I3" s="124"/>
      <c r="J3" s="124"/>
      <c r="K3" s="125"/>
      <c r="L3" s="35"/>
      <c r="M3" s="35"/>
    </row>
    <row r="4" spans="3:13" x14ac:dyDescent="0.35">
      <c r="C4" s="126"/>
      <c r="D4" s="127"/>
      <c r="E4" s="127"/>
      <c r="F4" s="127"/>
      <c r="G4" s="127"/>
      <c r="H4" s="127"/>
      <c r="I4" s="127"/>
      <c r="J4" s="127"/>
      <c r="K4" s="128"/>
      <c r="L4" s="35"/>
      <c r="M4" s="35"/>
    </row>
    <row r="5" spans="3:13" x14ac:dyDescent="0.35">
      <c r="C5" s="126"/>
      <c r="D5" s="127"/>
      <c r="E5" s="127"/>
      <c r="F5" s="127"/>
      <c r="G5" s="127"/>
      <c r="H5" s="127"/>
      <c r="I5" s="127"/>
      <c r="J5" s="127"/>
      <c r="K5" s="128"/>
      <c r="L5" s="35"/>
      <c r="M5" s="35"/>
    </row>
    <row r="6" spans="3:13" x14ac:dyDescent="0.35">
      <c r="C6" s="126"/>
      <c r="D6" s="127"/>
      <c r="E6" s="127"/>
      <c r="F6" s="127"/>
      <c r="G6" s="127"/>
      <c r="H6" s="127"/>
      <c r="I6" s="127"/>
      <c r="J6" s="127"/>
      <c r="K6" s="128"/>
      <c r="L6" s="35"/>
      <c r="M6" s="35"/>
    </row>
    <row r="7" spans="3:13" x14ac:dyDescent="0.35">
      <c r="C7" s="126"/>
      <c r="D7" s="127"/>
      <c r="E7" s="127"/>
      <c r="F7" s="127"/>
      <c r="G7" s="127"/>
      <c r="H7" s="127"/>
      <c r="I7" s="127"/>
      <c r="J7" s="127"/>
      <c r="K7" s="128"/>
      <c r="L7" s="35"/>
      <c r="M7" s="35"/>
    </row>
    <row r="8" spans="3:13" x14ac:dyDescent="0.35">
      <c r="C8" s="126"/>
      <c r="D8" s="127"/>
      <c r="E8" s="127"/>
      <c r="F8" s="127"/>
      <c r="G8" s="127"/>
      <c r="H8" s="127"/>
      <c r="I8" s="127"/>
      <c r="J8" s="127"/>
      <c r="K8" s="128"/>
      <c r="L8" s="35"/>
      <c r="M8" s="35"/>
    </row>
    <row r="9" spans="3:13" x14ac:dyDescent="0.35">
      <c r="C9" s="126"/>
      <c r="D9" s="127"/>
      <c r="E9" s="127"/>
      <c r="F9" s="127"/>
      <c r="G9" s="127"/>
      <c r="H9" s="127"/>
      <c r="I9" s="127"/>
      <c r="J9" s="127"/>
      <c r="K9" s="128"/>
      <c r="L9" s="35"/>
      <c r="M9" s="35"/>
    </row>
    <row r="10" spans="3:13" ht="15" thickBot="1" x14ac:dyDescent="0.4">
      <c r="C10" s="129"/>
      <c r="D10" s="130"/>
      <c r="E10" s="130"/>
      <c r="F10" s="130"/>
      <c r="G10" s="130"/>
      <c r="H10" s="130"/>
      <c r="I10" s="130"/>
      <c r="J10" s="130"/>
      <c r="K10" s="131"/>
      <c r="L10" s="35"/>
      <c r="M10" s="35"/>
    </row>
    <row r="13" spans="3:13" x14ac:dyDescent="0.35">
      <c r="C13" s="136" t="s">
        <v>288</v>
      </c>
      <c r="D13" s="136"/>
      <c r="E13" s="136"/>
      <c r="F13" s="136"/>
      <c r="G13" s="136"/>
      <c r="H13" s="136"/>
      <c r="I13" s="136"/>
      <c r="J13" s="136"/>
      <c r="K13" s="136"/>
    </row>
    <row r="15" spans="3:13" ht="44" customHeight="1" x14ac:dyDescent="0.35">
      <c r="C15" s="4" t="s">
        <v>285</v>
      </c>
      <c r="D15" s="132" t="s">
        <v>257</v>
      </c>
      <c r="E15" s="133"/>
      <c r="F15" s="133"/>
      <c r="G15" s="133"/>
      <c r="H15" s="133"/>
      <c r="I15" s="133"/>
      <c r="J15" s="133"/>
      <c r="K15" s="133"/>
    </row>
    <row r="16" spans="3:13" ht="44" customHeight="1" x14ac:dyDescent="0.35">
      <c r="C16" s="4" t="s">
        <v>287</v>
      </c>
      <c r="D16" s="120" t="s">
        <v>286</v>
      </c>
      <c r="E16" s="121"/>
      <c r="F16" s="121"/>
      <c r="G16" s="121"/>
      <c r="H16" s="121"/>
      <c r="I16" s="121"/>
      <c r="J16" s="121"/>
      <c r="K16" s="122"/>
    </row>
    <row r="17" spans="3:11" ht="44" customHeight="1" x14ac:dyDescent="0.35">
      <c r="C17" s="1" t="s">
        <v>254</v>
      </c>
      <c r="D17" s="134" t="s">
        <v>255</v>
      </c>
      <c r="E17" s="134"/>
      <c r="F17" s="134"/>
      <c r="G17" s="134"/>
      <c r="H17" s="134"/>
      <c r="I17" s="134"/>
      <c r="J17" s="134"/>
      <c r="K17" s="134"/>
    </row>
    <row r="18" spans="3:11" ht="44" customHeight="1" x14ac:dyDescent="0.35">
      <c r="C18" s="1" t="s">
        <v>256</v>
      </c>
      <c r="D18" s="134" t="s">
        <v>258</v>
      </c>
      <c r="E18" s="135"/>
      <c r="F18" s="135"/>
      <c r="G18" s="135"/>
      <c r="H18" s="135"/>
      <c r="I18" s="135"/>
      <c r="J18" s="135"/>
      <c r="K18" s="135"/>
    </row>
    <row r="20" spans="3:11" ht="15" thickBot="1" x14ac:dyDescent="0.4"/>
    <row r="21" spans="3:11" x14ac:dyDescent="0.35">
      <c r="C21" s="110"/>
      <c r="D21" s="111"/>
      <c r="E21" s="111"/>
      <c r="F21" s="111"/>
      <c r="G21" s="111"/>
      <c r="H21" s="111"/>
      <c r="I21" s="111"/>
      <c r="J21" s="111"/>
      <c r="K21" s="112"/>
    </row>
    <row r="22" spans="3:11" x14ac:dyDescent="0.35">
      <c r="C22" s="113"/>
      <c r="D22" s="114"/>
      <c r="E22" s="114"/>
      <c r="F22" s="114"/>
      <c r="G22" s="114"/>
      <c r="H22" s="114"/>
      <c r="I22" s="114"/>
      <c r="J22" s="114"/>
      <c r="K22" s="115"/>
    </row>
    <row r="23" spans="3:11" x14ac:dyDescent="0.35">
      <c r="C23" s="113"/>
      <c r="D23" s="114"/>
      <c r="E23" s="114"/>
      <c r="F23" s="114"/>
      <c r="G23" s="114"/>
      <c r="H23" s="114"/>
      <c r="I23" s="114"/>
      <c r="J23" s="114"/>
      <c r="K23" s="115"/>
    </row>
    <row r="24" spans="3:11" x14ac:dyDescent="0.35">
      <c r="C24" s="113"/>
      <c r="D24" s="114"/>
      <c r="E24" s="114"/>
      <c r="F24" s="114"/>
      <c r="G24" s="114"/>
      <c r="H24" s="114"/>
      <c r="I24" s="114"/>
      <c r="J24" s="114"/>
      <c r="K24" s="115"/>
    </row>
    <row r="25" spans="3:11" ht="15" thickBot="1" x14ac:dyDescent="0.4">
      <c r="C25" s="116"/>
      <c r="D25" s="117"/>
      <c r="E25" s="117"/>
      <c r="F25" s="117"/>
      <c r="G25" s="117"/>
      <c r="H25" s="117"/>
      <c r="I25" s="117"/>
      <c r="J25" s="117"/>
      <c r="K25" s="118"/>
    </row>
    <row r="27" spans="3:11" x14ac:dyDescent="0.35">
      <c r="C27" s="119" t="s">
        <v>283</v>
      </c>
      <c r="D27" s="119"/>
      <c r="E27" s="119"/>
      <c r="F27" s="119"/>
      <c r="G27" s="119"/>
      <c r="H27" s="119"/>
      <c r="I27" s="119"/>
      <c r="J27" s="119"/>
      <c r="K27" s="119"/>
    </row>
    <row r="28" spans="3:11" x14ac:dyDescent="0.35">
      <c r="C28" s="119"/>
      <c r="D28" s="119"/>
      <c r="E28" s="119"/>
      <c r="F28" s="119"/>
      <c r="G28" s="119"/>
      <c r="H28" s="119"/>
      <c r="I28" s="119"/>
      <c r="J28" s="119"/>
      <c r="K28" s="119"/>
    </row>
  </sheetData>
  <sheetProtection algorithmName="SHA-512" hashValue="DkIB/Gy+NsoeWpgc8xtqyMvIZMIpNa5nyU+8gB7D8kjev2GmPw/6ik765u2hIguL8ygwT0d/JIibAi47OwxAqA==" saltValue="1wboRP6Tftd7FNkHQBhUNg==" spinCount="100000" sheet="1" objects="1" scenarios="1"/>
  <mergeCells count="8">
    <mergeCell ref="C21:K25"/>
    <mergeCell ref="C27:K28"/>
    <mergeCell ref="D16:K16"/>
    <mergeCell ref="C3:K10"/>
    <mergeCell ref="D15:K15"/>
    <mergeCell ref="D17:K17"/>
    <mergeCell ref="D18:K18"/>
    <mergeCell ref="C13:K13"/>
  </mergeCells>
  <hyperlinks>
    <hyperlink ref="D17" r:id="rId1" xr:uid="{CA767D5C-91D1-48FE-963C-58ED77A68C33}"/>
    <hyperlink ref="D15" r:id="rId2" xr:uid="{EF516C5E-45B5-442F-A9B5-630B73D9C127}"/>
    <hyperlink ref="D18" r:id="rId3" xr:uid="{C81E824B-738A-4A9D-8B9E-7C61E714E40C}"/>
    <hyperlink ref="D16" r:id="rId4" xr:uid="{87357338-42F4-43D0-8D6B-CD449EB73B22}"/>
  </hyperlinks>
  <pageMargins left="0.7" right="0.7" top="0.75" bottom="0.75" header="0.3" footer="0.3"/>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E3EF-A0E6-480C-9007-90EEB50544BA}">
  <sheetPr>
    <tabColor rgb="FFFF0000"/>
  </sheetPr>
  <dimension ref="C4:Y83"/>
  <sheetViews>
    <sheetView zoomScale="90" zoomScaleNormal="90" workbookViewId="0">
      <selection activeCell="F36" sqref="F36"/>
    </sheetView>
  </sheetViews>
  <sheetFormatPr defaultRowHeight="14.5" x14ac:dyDescent="0.35"/>
  <cols>
    <col min="3" max="3" width="18.81640625" customWidth="1"/>
    <col min="4" max="4" width="43.54296875" customWidth="1"/>
    <col min="5" max="5" width="14.1796875" customWidth="1"/>
    <col min="6" max="6" width="14" customWidth="1"/>
    <col min="7" max="7" width="11.90625" customWidth="1"/>
    <col min="8" max="8" width="12.26953125" hidden="1" customWidth="1"/>
    <col min="9" max="9" width="8.7265625" hidden="1" customWidth="1"/>
    <col min="10" max="10" width="12.6328125" hidden="1" customWidth="1"/>
    <col min="11" max="11" width="8.7265625" hidden="1" customWidth="1"/>
    <col min="15" max="15" width="9.1796875" bestFit="1" customWidth="1"/>
    <col min="20" max="20" width="12.6328125" bestFit="1" customWidth="1"/>
    <col min="23" max="23" width="93.81640625" customWidth="1"/>
    <col min="25" max="25" width="9.90625" bestFit="1" customWidth="1"/>
  </cols>
  <sheetData>
    <row r="4" spans="3:23" ht="43.5" x14ac:dyDescent="0.35">
      <c r="C4" s="10" t="s">
        <v>69</v>
      </c>
      <c r="D4" s="10" t="s">
        <v>47</v>
      </c>
      <c r="E4" s="10" t="s">
        <v>82</v>
      </c>
      <c r="F4" s="10" t="s">
        <v>67</v>
      </c>
      <c r="G4" s="10" t="s">
        <v>99</v>
      </c>
      <c r="H4" s="10" t="s">
        <v>223</v>
      </c>
      <c r="J4" s="30" t="s">
        <v>224</v>
      </c>
      <c r="K4" s="30" t="s">
        <v>69</v>
      </c>
      <c r="L4" s="31" t="s">
        <v>209</v>
      </c>
      <c r="M4" s="31" t="s">
        <v>225</v>
      </c>
    </row>
    <row r="5" spans="3:23" ht="17.5" x14ac:dyDescent="0.45">
      <c r="C5" s="49" t="s">
        <v>125</v>
      </c>
      <c r="D5" s="49" t="s">
        <v>125</v>
      </c>
      <c r="E5" s="42" t="s">
        <v>139</v>
      </c>
      <c r="F5" s="88">
        <v>2.8468999999999993</v>
      </c>
      <c r="G5" s="42" t="s">
        <v>290</v>
      </c>
      <c r="H5" s="66">
        <f>(J5/K5)*10000</f>
        <v>2.8468999999999993</v>
      </c>
      <c r="I5" s="51"/>
      <c r="J5" s="42">
        <v>1023.403612</v>
      </c>
      <c r="K5" s="42">
        <v>3594800.0000000005</v>
      </c>
      <c r="L5" t="s">
        <v>208</v>
      </c>
      <c r="O5" s="28"/>
    </row>
    <row r="6" spans="3:23" ht="17.5" x14ac:dyDescent="0.45">
      <c r="C6" s="49" t="s">
        <v>68</v>
      </c>
      <c r="D6" s="49" t="s">
        <v>205</v>
      </c>
      <c r="E6" s="42" t="s">
        <v>138</v>
      </c>
      <c r="F6" s="88">
        <v>3.2394444444444441E-4</v>
      </c>
      <c r="G6" s="42" t="s">
        <v>291</v>
      </c>
      <c r="H6" s="66">
        <f>J6/K6</f>
        <v>3.2394444444444441E-4</v>
      </c>
      <c r="I6" s="51"/>
      <c r="J6" s="42">
        <v>3112.4323066666666</v>
      </c>
      <c r="K6" s="42">
        <v>9607920</v>
      </c>
      <c r="L6" t="s">
        <v>208</v>
      </c>
      <c r="M6" t="s">
        <v>210</v>
      </c>
      <c r="W6" s="33"/>
    </row>
    <row r="7" spans="3:23" ht="17.5" x14ac:dyDescent="0.45">
      <c r="C7" s="49" t="s">
        <v>204</v>
      </c>
      <c r="D7" s="49" t="s">
        <v>206</v>
      </c>
      <c r="E7" s="42" t="s">
        <v>138</v>
      </c>
      <c r="F7" s="88">
        <v>1.2843447010147237E-4</v>
      </c>
      <c r="G7" s="42" t="s">
        <v>291</v>
      </c>
      <c r="H7" s="67">
        <f>(J7/K7)/0.3</f>
        <v>1.2843447010147237E-4</v>
      </c>
      <c r="I7" s="51"/>
      <c r="J7" s="42">
        <f>(24.73202+5.770804+247.3202)</f>
        <v>277.82302399999998</v>
      </c>
      <c r="K7" s="42">
        <f>2403500*3</f>
        <v>7210500</v>
      </c>
      <c r="L7" t="s">
        <v>208</v>
      </c>
      <c r="M7" t="s">
        <v>211</v>
      </c>
    </row>
    <row r="8" spans="3:23" ht="16.5" x14ac:dyDescent="0.45">
      <c r="C8" s="49" t="s">
        <v>140</v>
      </c>
      <c r="D8" s="49" t="s">
        <v>140</v>
      </c>
      <c r="E8" s="42" t="s">
        <v>141</v>
      </c>
      <c r="F8" s="88">
        <v>5.4882231877429681E-4</v>
      </c>
      <c r="G8" s="42" t="s">
        <v>292</v>
      </c>
      <c r="H8" s="68">
        <f>(J8/K8)*(2600/1000)</f>
        <v>5.4882231877429681E-4</v>
      </c>
      <c r="I8" s="51"/>
      <c r="J8" s="69">
        <v>240</v>
      </c>
      <c r="K8" s="69">
        <v>1136980</v>
      </c>
      <c r="L8" s="29" t="s">
        <v>208</v>
      </c>
      <c r="M8" t="s">
        <v>212</v>
      </c>
    </row>
    <row r="9" spans="3:23" x14ac:dyDescent="0.35">
      <c r="C9" s="49"/>
      <c r="D9" s="49"/>
      <c r="E9" s="42"/>
      <c r="F9" s="88"/>
      <c r="G9" s="42"/>
      <c r="H9" s="42"/>
      <c r="I9" s="51"/>
      <c r="J9" s="49"/>
      <c r="K9" s="49"/>
    </row>
    <row r="10" spans="3:23" x14ac:dyDescent="0.35">
      <c r="C10" s="46" t="s">
        <v>31</v>
      </c>
      <c r="D10" s="46" t="s">
        <v>47</v>
      </c>
      <c r="E10" s="50"/>
      <c r="F10" s="88"/>
      <c r="G10" s="42"/>
      <c r="H10" s="42"/>
      <c r="I10" s="51"/>
      <c r="J10" s="49"/>
      <c r="K10" s="49"/>
    </row>
    <row r="11" spans="3:23" ht="17.5" x14ac:dyDescent="0.45">
      <c r="C11" s="49" t="s">
        <v>32</v>
      </c>
      <c r="D11" s="49" t="s">
        <v>48</v>
      </c>
      <c r="E11" s="42" t="s">
        <v>138</v>
      </c>
      <c r="F11" s="88">
        <v>3.2000000000000003E-4</v>
      </c>
      <c r="G11" s="42" t="s">
        <v>291</v>
      </c>
      <c r="H11" s="67">
        <f>0.00032</f>
        <v>3.2000000000000003E-4</v>
      </c>
      <c r="I11" s="51"/>
      <c r="J11" s="49"/>
      <c r="K11" s="49"/>
      <c r="L11" s="29" t="s">
        <v>208</v>
      </c>
      <c r="M11" t="s">
        <v>215</v>
      </c>
    </row>
    <row r="12" spans="3:23" ht="17.5" x14ac:dyDescent="0.45">
      <c r="C12" s="49" t="s">
        <v>120</v>
      </c>
      <c r="D12" s="49" t="s">
        <v>49</v>
      </c>
      <c r="E12" s="42" t="s">
        <v>138</v>
      </c>
      <c r="F12" s="88">
        <v>3.2000000000000003E-4</v>
      </c>
      <c r="G12" s="42" t="s">
        <v>291</v>
      </c>
      <c r="H12" s="67">
        <f>H11</f>
        <v>3.2000000000000003E-4</v>
      </c>
      <c r="I12" s="51"/>
      <c r="J12" s="49"/>
      <c r="K12" s="49"/>
      <c r="L12" s="29" t="s">
        <v>208</v>
      </c>
      <c r="M12" t="s">
        <v>216</v>
      </c>
    </row>
    <row r="13" spans="3:23" ht="17.5" x14ac:dyDescent="0.45">
      <c r="C13" s="49" t="s">
        <v>118</v>
      </c>
      <c r="D13" s="49" t="s">
        <v>50</v>
      </c>
      <c r="E13" s="42" t="s">
        <v>138</v>
      </c>
      <c r="F13" s="88">
        <v>3.5359294519533456E-4</v>
      </c>
      <c r="G13" s="42" t="s">
        <v>291</v>
      </c>
      <c r="H13" s="67">
        <f>(J13/K13)+((3209.055+1306.855)/(12382736*2))</f>
        <v>3.5359294519533456E-4</v>
      </c>
      <c r="I13" s="51"/>
      <c r="J13" s="42">
        <f>24.1815+5.64235+241.815</f>
        <v>271.63884999999999</v>
      </c>
      <c r="K13" s="42">
        <f>528750*3</f>
        <v>1586250</v>
      </c>
      <c r="L13" t="s">
        <v>208</v>
      </c>
      <c r="M13">
        <f>3209.055+1306.855</f>
        <v>4515.91</v>
      </c>
      <c r="N13">
        <f>12382736*2</f>
        <v>24765472</v>
      </c>
      <c r="O13" t="s">
        <v>213</v>
      </c>
    </row>
    <row r="14" spans="3:23" x14ac:dyDescent="0.35">
      <c r="C14" s="49"/>
      <c r="D14" s="49"/>
      <c r="E14" s="42"/>
      <c r="F14" s="88"/>
      <c r="G14" s="42"/>
      <c r="H14" s="42"/>
      <c r="I14" s="51"/>
      <c r="J14" s="49"/>
      <c r="K14" s="49"/>
    </row>
    <row r="15" spans="3:23" x14ac:dyDescent="0.35">
      <c r="C15" s="46" t="s">
        <v>117</v>
      </c>
      <c r="D15" s="46" t="s">
        <v>47</v>
      </c>
      <c r="E15" s="50"/>
      <c r="F15" s="88"/>
      <c r="G15" s="42"/>
      <c r="H15" s="42"/>
      <c r="I15" s="51"/>
      <c r="J15" s="49"/>
      <c r="K15" s="49"/>
    </row>
    <row r="16" spans="3:23" ht="17.5" x14ac:dyDescent="0.45">
      <c r="C16" s="49" t="s">
        <v>118</v>
      </c>
      <c r="D16" s="49" t="s">
        <v>50</v>
      </c>
      <c r="E16" s="42" t="s">
        <v>138</v>
      </c>
      <c r="F16" s="88">
        <v>3.5359294519533456E-4</v>
      </c>
      <c r="G16" s="42" t="s">
        <v>291</v>
      </c>
      <c r="H16" s="67">
        <f>H13</f>
        <v>3.5359294519533456E-4</v>
      </c>
      <c r="I16" s="51"/>
      <c r="J16" s="49"/>
      <c r="K16" s="49"/>
      <c r="T16" s="39"/>
    </row>
    <row r="17" spans="3:13" ht="17.5" x14ac:dyDescent="0.45">
      <c r="C17" s="49" t="s">
        <v>119</v>
      </c>
      <c r="D17" s="49" t="s">
        <v>51</v>
      </c>
      <c r="E17" s="42" t="s">
        <v>138</v>
      </c>
      <c r="F17" s="88">
        <v>3.6499999999999998E-4</v>
      </c>
      <c r="G17" s="42" t="s">
        <v>291</v>
      </c>
      <c r="H17" s="67">
        <f>0.000365</f>
        <v>3.6499999999999998E-4</v>
      </c>
      <c r="I17" s="51"/>
      <c r="J17" s="49"/>
      <c r="K17" s="49"/>
      <c r="L17" s="29" t="s">
        <v>208</v>
      </c>
      <c r="M17" t="s">
        <v>214</v>
      </c>
    </row>
    <row r="18" spans="3:13" ht="17.5" x14ac:dyDescent="0.45">
      <c r="C18" s="49" t="s">
        <v>121</v>
      </c>
      <c r="D18" s="49" t="s">
        <v>123</v>
      </c>
      <c r="E18" s="42" t="s">
        <v>138</v>
      </c>
      <c r="F18" s="88">
        <v>3.7500000000000001E-4</v>
      </c>
      <c r="G18" s="42" t="s">
        <v>291</v>
      </c>
      <c r="H18" s="67">
        <f>0.000375</f>
        <v>3.7500000000000001E-4</v>
      </c>
      <c r="I18" s="51"/>
      <c r="J18" s="49"/>
      <c r="K18" s="49"/>
      <c r="L18" s="29" t="s">
        <v>208</v>
      </c>
      <c r="M18" t="s">
        <v>217</v>
      </c>
    </row>
    <row r="19" spans="3:13" ht="17.5" x14ac:dyDescent="0.45">
      <c r="C19" s="49" t="s">
        <v>122</v>
      </c>
      <c r="D19" s="49" t="s">
        <v>124</v>
      </c>
      <c r="E19" s="42" t="s">
        <v>138</v>
      </c>
      <c r="F19" s="88">
        <v>3.8499999999999998E-4</v>
      </c>
      <c r="G19" s="42" t="s">
        <v>291</v>
      </c>
      <c r="H19" s="67">
        <f>0.000385</f>
        <v>3.8499999999999998E-4</v>
      </c>
      <c r="I19" s="51"/>
      <c r="J19" s="49"/>
      <c r="K19" s="49"/>
      <c r="L19" s="29" t="s">
        <v>208</v>
      </c>
      <c r="M19" t="s">
        <v>218</v>
      </c>
    </row>
    <row r="20" spans="3:13" ht="17.5" x14ac:dyDescent="0.45">
      <c r="C20" s="49" t="s">
        <v>33</v>
      </c>
      <c r="D20" s="49" t="s">
        <v>52</v>
      </c>
      <c r="E20" s="42" t="s">
        <v>138</v>
      </c>
      <c r="F20" s="89">
        <v>3.3185592945195332E-2</v>
      </c>
      <c r="G20" s="42" t="s">
        <v>291</v>
      </c>
      <c r="H20" s="70">
        <f>$F$16+J20</f>
        <v>3.3185592945195332E-2</v>
      </c>
      <c r="I20" s="51"/>
      <c r="J20" s="42">
        <f>(((2/100)*1800)/1000)*K20</f>
        <v>3.2832E-2</v>
      </c>
      <c r="K20" s="42">
        <v>0.91200000000000003</v>
      </c>
      <c r="L20" t="s">
        <v>220</v>
      </c>
      <c r="M20" t="s">
        <v>226</v>
      </c>
    </row>
    <row r="21" spans="3:13" ht="17.5" x14ac:dyDescent="0.45">
      <c r="C21" s="49" t="s">
        <v>308</v>
      </c>
      <c r="D21" s="49" t="s">
        <v>52</v>
      </c>
      <c r="E21" s="42" t="s">
        <v>138</v>
      </c>
      <c r="F21" s="88">
        <v>2.4545592945195333E-2</v>
      </c>
      <c r="G21" s="42" t="s">
        <v>291</v>
      </c>
      <c r="H21" s="70">
        <f>$F$16+J21</f>
        <v>2.4545592945195333E-2</v>
      </c>
      <c r="I21" s="51"/>
      <c r="J21" s="42">
        <f>(((2/100)*1800)/1000)*K21</f>
        <v>2.4191999999999998E-2</v>
      </c>
      <c r="K21" s="42">
        <v>0.67200000000000004</v>
      </c>
      <c r="L21" t="s">
        <v>220</v>
      </c>
      <c r="M21" t="s">
        <v>226</v>
      </c>
    </row>
    <row r="22" spans="3:13" ht="17.5" x14ac:dyDescent="0.45">
      <c r="C22" s="49" t="s">
        <v>92</v>
      </c>
      <c r="D22" s="49" t="s">
        <v>52</v>
      </c>
      <c r="E22" s="42" t="s">
        <v>138</v>
      </c>
      <c r="F22" s="88">
        <v>2.4149592945195333E-2</v>
      </c>
      <c r="G22" s="42" t="s">
        <v>291</v>
      </c>
      <c r="H22" s="70">
        <f>$F$16+J22</f>
        <v>2.4149592945195333E-2</v>
      </c>
      <c r="I22" s="51"/>
      <c r="J22" s="42">
        <f>(((2/100)*1800)/1000)*K22</f>
        <v>2.3795999999999998E-2</v>
      </c>
      <c r="K22" s="42">
        <v>0.66100000000000003</v>
      </c>
      <c r="L22" t="s">
        <v>220</v>
      </c>
      <c r="M22" t="s">
        <v>226</v>
      </c>
    </row>
    <row r="23" spans="3:13" ht="17.5" x14ac:dyDescent="0.45">
      <c r="C23" s="49" t="s">
        <v>41</v>
      </c>
      <c r="D23" s="49" t="s">
        <v>53</v>
      </c>
      <c r="E23" s="42" t="s">
        <v>138</v>
      </c>
      <c r="F23" s="89">
        <v>4.9623E-2</v>
      </c>
      <c r="G23" s="42" t="s">
        <v>291</v>
      </c>
      <c r="H23" s="70">
        <f>$F$18+J23</f>
        <v>4.9623E-2</v>
      </c>
      <c r="I23" s="51"/>
      <c r="J23" s="42">
        <f>(((3/100)*1800)/1000)*K23</f>
        <v>4.9248E-2</v>
      </c>
      <c r="K23" s="42">
        <v>0.91200000000000003</v>
      </c>
      <c r="L23" t="s">
        <v>220</v>
      </c>
      <c r="M23" t="s">
        <v>228</v>
      </c>
    </row>
    <row r="24" spans="3:13" ht="17.5" x14ac:dyDescent="0.45">
      <c r="C24" s="49" t="s">
        <v>309</v>
      </c>
      <c r="D24" s="49" t="s">
        <v>53</v>
      </c>
      <c r="E24" s="42" t="s">
        <v>138</v>
      </c>
      <c r="F24" s="88">
        <v>3.6663000000000001E-2</v>
      </c>
      <c r="G24" s="42" t="s">
        <v>291</v>
      </c>
      <c r="H24" s="70">
        <f t="shared" ref="H24:H25" si="0">$F$18+J24</f>
        <v>3.6663000000000001E-2</v>
      </c>
      <c r="I24" s="51"/>
      <c r="J24" s="42">
        <f>(((3/100)*1800)/1000)*K24</f>
        <v>3.6288000000000001E-2</v>
      </c>
      <c r="K24" s="42">
        <v>0.67200000000000004</v>
      </c>
      <c r="L24" t="s">
        <v>220</v>
      </c>
      <c r="M24" t="s">
        <v>228</v>
      </c>
    </row>
    <row r="25" spans="3:13" ht="17.5" x14ac:dyDescent="0.45">
      <c r="C25" s="49" t="s">
        <v>91</v>
      </c>
      <c r="D25" s="49" t="s">
        <v>53</v>
      </c>
      <c r="E25" s="42" t="s">
        <v>138</v>
      </c>
      <c r="F25" s="88">
        <v>3.6069000000000004E-2</v>
      </c>
      <c r="G25" s="42" t="s">
        <v>291</v>
      </c>
      <c r="H25" s="70">
        <f t="shared" si="0"/>
        <v>3.6069000000000004E-2</v>
      </c>
      <c r="I25" s="51"/>
      <c r="J25" s="42">
        <f>(((3/100)*1800)/1000)*K25</f>
        <v>3.5694000000000004E-2</v>
      </c>
      <c r="K25" s="42">
        <v>0.66100000000000003</v>
      </c>
      <c r="L25" t="s">
        <v>220</v>
      </c>
      <c r="M25" t="s">
        <v>228</v>
      </c>
    </row>
    <row r="26" spans="3:13" ht="17.5" x14ac:dyDescent="0.45">
      <c r="C26" s="49" t="s">
        <v>40</v>
      </c>
      <c r="D26" s="49" t="s">
        <v>54</v>
      </c>
      <c r="E26" s="42" t="s">
        <v>138</v>
      </c>
      <c r="F26" s="88">
        <v>5.5105000000000001E-2</v>
      </c>
      <c r="G26" s="42" t="s">
        <v>291</v>
      </c>
      <c r="H26" s="70">
        <f>$F$19+J26</f>
        <v>5.5105000000000001E-2</v>
      </c>
      <c r="I26" s="51"/>
      <c r="J26" s="42">
        <f>(((3/100)*2000)/1000)*K26</f>
        <v>5.4719999999999998E-2</v>
      </c>
      <c r="K26" s="42">
        <v>0.91200000000000003</v>
      </c>
      <c r="L26" t="s">
        <v>220</v>
      </c>
      <c r="M26" t="s">
        <v>227</v>
      </c>
    </row>
    <row r="27" spans="3:13" ht="17.5" x14ac:dyDescent="0.45">
      <c r="C27" s="49" t="s">
        <v>310</v>
      </c>
      <c r="D27" s="49" t="s">
        <v>54</v>
      </c>
      <c r="E27" s="42" t="s">
        <v>138</v>
      </c>
      <c r="F27" s="88">
        <v>4.0705000000000005E-2</v>
      </c>
      <c r="G27" s="42" t="s">
        <v>291</v>
      </c>
      <c r="H27" s="70">
        <f t="shared" ref="H27:H28" si="1">$F$19+J27</f>
        <v>4.0705000000000005E-2</v>
      </c>
      <c r="I27" s="51"/>
      <c r="J27" s="42">
        <f>(((3/100)*2000)/1000)*K27</f>
        <v>4.0320000000000002E-2</v>
      </c>
      <c r="K27" s="42">
        <v>0.67200000000000004</v>
      </c>
      <c r="L27" t="s">
        <v>220</v>
      </c>
      <c r="M27" t="s">
        <v>227</v>
      </c>
    </row>
    <row r="28" spans="3:13" ht="17.5" x14ac:dyDescent="0.45">
      <c r="C28" s="49" t="s">
        <v>90</v>
      </c>
      <c r="D28" s="49" t="s">
        <v>54</v>
      </c>
      <c r="E28" s="42" t="s">
        <v>138</v>
      </c>
      <c r="F28" s="88">
        <v>4.0045000000000004E-2</v>
      </c>
      <c r="G28" s="42" t="s">
        <v>291</v>
      </c>
      <c r="H28" s="70">
        <f t="shared" si="1"/>
        <v>4.0045000000000004E-2</v>
      </c>
      <c r="I28" s="51"/>
      <c r="J28" s="42">
        <f>(((3/100)*2000)/1000)*K28</f>
        <v>3.9660000000000001E-2</v>
      </c>
      <c r="K28" s="42">
        <v>0.66100000000000003</v>
      </c>
      <c r="L28" t="s">
        <v>220</v>
      </c>
      <c r="M28" t="s">
        <v>227</v>
      </c>
    </row>
    <row r="29" spans="3:13" ht="17.5" x14ac:dyDescent="0.45">
      <c r="C29" s="49" t="s">
        <v>303</v>
      </c>
      <c r="D29" s="49" t="s">
        <v>301</v>
      </c>
      <c r="E29" s="42" t="s">
        <v>138</v>
      </c>
      <c r="F29" s="90">
        <v>0.16904934543463293</v>
      </c>
      <c r="G29" s="42" t="s">
        <v>291</v>
      </c>
      <c r="H29" s="70">
        <f>J29/(1000/2400)</f>
        <v>0.16904934543463293</v>
      </c>
      <c r="I29" s="51"/>
      <c r="J29" s="41">
        <v>7.0437227264430385E-2</v>
      </c>
      <c r="K29" s="51"/>
      <c r="L29" t="s">
        <v>220</v>
      </c>
    </row>
    <row r="30" spans="3:13" ht="17.5" x14ac:dyDescent="0.45">
      <c r="C30" s="49" t="s">
        <v>311</v>
      </c>
      <c r="D30" s="49" t="s">
        <v>300</v>
      </c>
      <c r="E30" s="42" t="s">
        <v>138</v>
      </c>
      <c r="F30" s="90">
        <v>0.13220230574302286</v>
      </c>
      <c r="G30" s="42" t="s">
        <v>291</v>
      </c>
      <c r="H30" s="70">
        <f>J30/(1000/2400)</f>
        <v>0.13220230574302286</v>
      </c>
      <c r="I30" s="51"/>
      <c r="J30" s="41">
        <v>5.5084294059592864E-2</v>
      </c>
      <c r="K30" s="51"/>
      <c r="L30" t="s">
        <v>220</v>
      </c>
    </row>
    <row r="31" spans="3:13" ht="17.5" x14ac:dyDescent="0.45">
      <c r="C31" s="49" t="s">
        <v>304</v>
      </c>
      <c r="D31" s="49" t="s">
        <v>302</v>
      </c>
      <c r="E31" s="42" t="s">
        <v>138</v>
      </c>
      <c r="F31" s="90">
        <v>0.13356790912758987</v>
      </c>
      <c r="G31" s="42" t="s">
        <v>291</v>
      </c>
      <c r="H31" s="70">
        <f>J31/(1000/2400)</f>
        <v>0.13356790912758987</v>
      </c>
      <c r="I31" s="51"/>
      <c r="J31" s="41">
        <v>5.5653295469829119E-2</v>
      </c>
      <c r="K31" s="51"/>
      <c r="L31" t="s">
        <v>220</v>
      </c>
    </row>
    <row r="32" spans="3:13" ht="17.5" x14ac:dyDescent="0.45">
      <c r="C32" s="49" t="s">
        <v>34</v>
      </c>
      <c r="D32" s="49" t="s">
        <v>55</v>
      </c>
      <c r="E32" s="42" t="s">
        <v>138</v>
      </c>
      <c r="F32" s="88">
        <v>7.8840000000000004E-3</v>
      </c>
      <c r="G32" s="42" t="s">
        <v>291</v>
      </c>
      <c r="H32" s="42">
        <f>0.00438/(1000/1800)</f>
        <v>7.8840000000000004E-3</v>
      </c>
      <c r="I32" s="51"/>
      <c r="J32" s="51"/>
      <c r="K32" s="51"/>
      <c r="L32" t="s">
        <v>220</v>
      </c>
    </row>
    <row r="33" spans="3:25" ht="17.5" x14ac:dyDescent="0.45">
      <c r="C33" s="49" t="s">
        <v>35</v>
      </c>
      <c r="D33" s="49" t="s">
        <v>56</v>
      </c>
      <c r="E33" s="42" t="s">
        <v>138</v>
      </c>
      <c r="F33" s="88">
        <v>7.8840000000000004E-3</v>
      </c>
      <c r="G33" s="42" t="s">
        <v>291</v>
      </c>
      <c r="H33" s="42">
        <f>0.00438/(1000/1800)</f>
        <v>7.8840000000000004E-3</v>
      </c>
      <c r="I33" s="51"/>
      <c r="J33" s="51"/>
      <c r="K33" s="51"/>
      <c r="L33" t="s">
        <v>220</v>
      </c>
    </row>
    <row r="34" spans="3:25" ht="17.5" x14ac:dyDescent="0.45">
      <c r="C34" s="49" t="s">
        <v>36</v>
      </c>
      <c r="D34" s="49" t="s">
        <v>57</v>
      </c>
      <c r="E34" s="42" t="s">
        <v>138</v>
      </c>
      <c r="F34" s="88">
        <v>6.8840000000000004E-3</v>
      </c>
      <c r="G34" s="42" t="s">
        <v>291</v>
      </c>
      <c r="H34" s="42">
        <v>6.8840000000000004E-3</v>
      </c>
      <c r="I34" s="51"/>
      <c r="J34" s="51"/>
      <c r="K34" s="51"/>
      <c r="L34" t="s">
        <v>220</v>
      </c>
      <c r="M34" t="s">
        <v>221</v>
      </c>
    </row>
    <row r="35" spans="3:25" ht="17.5" x14ac:dyDescent="0.45">
      <c r="C35" s="49" t="s">
        <v>37</v>
      </c>
      <c r="D35" s="49" t="s">
        <v>58</v>
      </c>
      <c r="E35" s="42" t="s">
        <v>138</v>
      </c>
      <c r="F35" s="88">
        <v>7.8840000000000004E-3</v>
      </c>
      <c r="G35" s="42" t="s">
        <v>291</v>
      </c>
      <c r="H35" s="42">
        <v>7.8840000000000004E-3</v>
      </c>
      <c r="I35" s="51"/>
      <c r="J35" s="51"/>
      <c r="K35" s="51"/>
      <c r="M35" t="s">
        <v>222</v>
      </c>
      <c r="Y35" s="32"/>
    </row>
    <row r="36" spans="3:25" ht="17.5" x14ac:dyDescent="0.45">
      <c r="C36" s="49" t="s">
        <v>38</v>
      </c>
      <c r="D36" s="49" t="s">
        <v>59</v>
      </c>
      <c r="E36" s="42" t="s">
        <v>138</v>
      </c>
      <c r="F36" s="88">
        <v>2.6771E-2</v>
      </c>
      <c r="G36" s="42" t="s">
        <v>291</v>
      </c>
      <c r="H36" s="71">
        <f>((((1/100)*1800)/1000)*0.912)+((((2.5/100)*1800)/1000)*0.222)+H17</f>
        <v>2.6771E-2</v>
      </c>
      <c r="I36" s="51"/>
      <c r="J36" s="72"/>
      <c r="K36" s="51"/>
      <c r="L36" t="s">
        <v>220</v>
      </c>
      <c r="M36" t="s">
        <v>230</v>
      </c>
    </row>
    <row r="37" spans="3:25" ht="17.5" x14ac:dyDescent="0.45">
      <c r="C37" s="49" t="s">
        <v>39</v>
      </c>
      <c r="D37" s="49" t="s">
        <v>60</v>
      </c>
      <c r="E37" s="42" t="s">
        <v>138</v>
      </c>
      <c r="F37" s="88">
        <v>6.4784499999999997E-4</v>
      </c>
      <c r="G37" s="42" t="s">
        <v>291</v>
      </c>
      <c r="H37" s="71">
        <f>((((1/100)*1900)/1000)*0.00493)+((((2.5/100)*1900)/1000)*0.00493)+H12</f>
        <v>6.4784499999999997E-4</v>
      </c>
      <c r="I37" s="51"/>
      <c r="J37" s="72"/>
      <c r="K37" s="51"/>
      <c r="L37" t="s">
        <v>220</v>
      </c>
      <c r="M37" t="s">
        <v>230</v>
      </c>
    </row>
    <row r="38" spans="3:25" x14ac:dyDescent="0.35">
      <c r="C38" s="49"/>
      <c r="D38" s="49"/>
      <c r="E38" s="49"/>
      <c r="F38" s="91"/>
      <c r="G38" s="49"/>
      <c r="H38" s="49"/>
      <c r="I38" s="51"/>
      <c r="J38" s="51"/>
      <c r="K38" s="51"/>
    </row>
    <row r="39" spans="3:25" x14ac:dyDescent="0.35">
      <c r="C39" s="46" t="s">
        <v>130</v>
      </c>
      <c r="D39" s="46" t="s">
        <v>47</v>
      </c>
      <c r="E39" s="46"/>
      <c r="F39" s="92"/>
      <c r="G39" s="49"/>
      <c r="H39" s="49"/>
      <c r="I39" s="51"/>
      <c r="J39" s="51"/>
      <c r="K39" s="51"/>
    </row>
    <row r="40" spans="3:25" ht="17.5" x14ac:dyDescent="0.45">
      <c r="C40" s="49" t="s">
        <v>146</v>
      </c>
      <c r="D40" s="49" t="s">
        <v>144</v>
      </c>
      <c r="E40" s="42" t="s">
        <v>148</v>
      </c>
      <c r="F40" s="88">
        <v>3.3351237499999997E-4</v>
      </c>
      <c r="G40" s="42" t="s">
        <v>291</v>
      </c>
      <c r="H40" s="73">
        <f>(1850*0.01/1000)*0.00493+J40</f>
        <v>3.3351237499999997E-4</v>
      </c>
      <c r="I40" s="51"/>
      <c r="J40" s="41">
        <f>(((0.191)*(995/1000))/1000)*0.85*1.5</f>
        <v>2.4230737499999995E-4</v>
      </c>
      <c r="K40" s="51"/>
      <c r="L40" t="s">
        <v>220</v>
      </c>
      <c r="M40" t="s">
        <v>239</v>
      </c>
      <c r="W40" s="174" t="s">
        <v>243</v>
      </c>
    </row>
    <row r="41" spans="3:25" ht="17.5" x14ac:dyDescent="0.45">
      <c r="C41" s="49" t="s">
        <v>147</v>
      </c>
      <c r="D41" s="49" t="s">
        <v>145</v>
      </c>
      <c r="E41" s="42" t="s">
        <v>148</v>
      </c>
      <c r="F41" s="88">
        <v>3.2313950000000002E-4</v>
      </c>
      <c r="G41" s="42" t="s">
        <v>291</v>
      </c>
      <c r="H41" s="73">
        <f>(1850*0.01/1000)*0.00493+J41</f>
        <v>3.2313950000000002E-4</v>
      </c>
      <c r="I41" s="51"/>
      <c r="J41" s="41">
        <f>(((0.222)*(995/1000))/1000)*0.7*1.5</f>
        <v>2.319345E-4</v>
      </c>
      <c r="K41" s="51"/>
      <c r="L41" t="s">
        <v>220</v>
      </c>
      <c r="M41" t="s">
        <v>240</v>
      </c>
      <c r="W41" s="174"/>
    </row>
    <row r="42" spans="3:25" ht="17.5" x14ac:dyDescent="0.45">
      <c r="C42" s="49" t="s">
        <v>142</v>
      </c>
      <c r="D42" s="49" t="s">
        <v>61</v>
      </c>
      <c r="E42" s="42" t="s">
        <v>148</v>
      </c>
      <c r="F42" s="88">
        <v>6.0032227500000002E-4</v>
      </c>
      <c r="G42" s="42" t="s">
        <v>291</v>
      </c>
      <c r="H42" s="73">
        <f>(1850*0.018/1000)*0.00493+J42</f>
        <v>6.0032227500000002E-4</v>
      </c>
      <c r="I42" s="51"/>
      <c r="J42" s="41">
        <f>(((0.191)*(995/1000))/1000)*0.85*2.7</f>
        <v>4.3615327499999998E-4</v>
      </c>
      <c r="K42" s="51"/>
      <c r="L42" t="s">
        <v>220</v>
      </c>
      <c r="M42" t="s">
        <v>241</v>
      </c>
      <c r="W42" s="174"/>
    </row>
    <row r="43" spans="3:25" ht="17.5" x14ac:dyDescent="0.45">
      <c r="C43" s="49" t="s">
        <v>143</v>
      </c>
      <c r="D43" s="49" t="s">
        <v>89</v>
      </c>
      <c r="E43" s="42" t="s">
        <v>148</v>
      </c>
      <c r="F43" s="88">
        <v>5.8165110000000001E-4</v>
      </c>
      <c r="G43" s="42" t="s">
        <v>291</v>
      </c>
      <c r="H43" s="73">
        <f>(1850*0.018/1000)*0.00493+J43</f>
        <v>5.8165110000000001E-4</v>
      </c>
      <c r="I43" s="51"/>
      <c r="J43" s="41">
        <f>(((0.222)*(995/1000))/1000)*0.7*2.7</f>
        <v>4.1748210000000003E-4</v>
      </c>
      <c r="K43" s="51"/>
      <c r="L43" t="s">
        <v>220</v>
      </c>
      <c r="M43" t="s">
        <v>242</v>
      </c>
      <c r="W43" s="174"/>
    </row>
    <row r="44" spans="3:25" ht="17.5" x14ac:dyDescent="0.45">
      <c r="C44" s="49" t="s">
        <v>42</v>
      </c>
      <c r="D44" s="49" t="s">
        <v>62</v>
      </c>
      <c r="E44" s="42" t="s">
        <v>138</v>
      </c>
      <c r="F44" s="88">
        <v>0.12465999999999999</v>
      </c>
      <c r="G44" s="42" t="s">
        <v>291</v>
      </c>
      <c r="H44" s="42">
        <f>(J44)*(2300/1000)</f>
        <v>0.12465999999999999</v>
      </c>
      <c r="I44" s="51"/>
      <c r="J44" s="42">
        <v>5.4199999999999998E-2</v>
      </c>
      <c r="K44" s="51"/>
      <c r="L44" t="s">
        <v>220</v>
      </c>
      <c r="M44" t="s">
        <v>231</v>
      </c>
      <c r="W44" s="119" t="s">
        <v>238</v>
      </c>
    </row>
    <row r="45" spans="3:25" ht="17.5" x14ac:dyDescent="0.45">
      <c r="C45" s="49" t="s">
        <v>43</v>
      </c>
      <c r="D45" s="49" t="s">
        <v>63</v>
      </c>
      <c r="E45" s="42" t="s">
        <v>138</v>
      </c>
      <c r="F45" s="88">
        <v>0.13178999999999999</v>
      </c>
      <c r="G45" s="42" t="s">
        <v>291</v>
      </c>
      <c r="H45" s="42">
        <f>(J45)*(2300/1000)</f>
        <v>0.13178999999999999</v>
      </c>
      <c r="I45" s="51"/>
      <c r="J45" s="42">
        <v>5.7299999999999997E-2</v>
      </c>
      <c r="K45" s="51"/>
      <c r="L45" t="s">
        <v>220</v>
      </c>
      <c r="M45" t="s">
        <v>232</v>
      </c>
      <c r="W45" s="119"/>
    </row>
    <row r="46" spans="3:25" ht="17.5" x14ac:dyDescent="0.45">
      <c r="C46" s="49" t="s">
        <v>44</v>
      </c>
      <c r="D46" s="49" t="s">
        <v>64</v>
      </c>
      <c r="E46" s="42" t="s">
        <v>138</v>
      </c>
      <c r="F46" s="88">
        <v>0.12235999999999998</v>
      </c>
      <c r="G46" s="42" t="s">
        <v>291</v>
      </c>
      <c r="H46" s="42">
        <f>(J46)*(2300/1000)</f>
        <v>0.12235999999999998</v>
      </c>
      <c r="I46" s="51"/>
      <c r="J46" s="42">
        <v>5.3199999999999997E-2</v>
      </c>
      <c r="K46" s="51"/>
      <c r="L46" t="s">
        <v>220</v>
      </c>
      <c r="M46" t="s">
        <v>233</v>
      </c>
      <c r="W46" s="119"/>
    </row>
    <row r="47" spans="3:25" ht="17.5" x14ac:dyDescent="0.45">
      <c r="C47" s="49" t="s">
        <v>45</v>
      </c>
      <c r="D47" s="49" t="s">
        <v>65</v>
      </c>
      <c r="E47" s="42" t="s">
        <v>138</v>
      </c>
      <c r="F47" s="88">
        <v>0.13178999999999999</v>
      </c>
      <c r="G47" s="42" t="s">
        <v>291</v>
      </c>
      <c r="H47" s="42">
        <f>(J47)*(2300/1000)</f>
        <v>0.13178999999999999</v>
      </c>
      <c r="I47" s="51"/>
      <c r="J47" s="42">
        <v>5.7299999999999997E-2</v>
      </c>
      <c r="K47" s="51"/>
      <c r="L47" t="s">
        <v>220</v>
      </c>
      <c r="M47" t="s">
        <v>232</v>
      </c>
      <c r="W47" s="119"/>
    </row>
    <row r="48" spans="3:25" ht="17.5" x14ac:dyDescent="0.45">
      <c r="C48" s="49" t="s">
        <v>46</v>
      </c>
      <c r="D48" s="49" t="s">
        <v>66</v>
      </c>
      <c r="E48" s="42" t="s">
        <v>138</v>
      </c>
      <c r="F48" s="88">
        <v>0.12719</v>
      </c>
      <c r="G48" s="42" t="s">
        <v>291</v>
      </c>
      <c r="H48" s="42">
        <f>(J48)*(2300/1000)</f>
        <v>0.12719</v>
      </c>
      <c r="I48" s="51"/>
      <c r="J48" s="42">
        <v>5.5300000000000002E-2</v>
      </c>
      <c r="K48" s="51"/>
      <c r="L48" t="s">
        <v>220</v>
      </c>
      <c r="M48" t="s">
        <v>234</v>
      </c>
      <c r="W48" s="119"/>
    </row>
    <row r="49" spans="3:23" ht="16.5" x14ac:dyDescent="0.35">
      <c r="C49" s="49" t="s">
        <v>190</v>
      </c>
      <c r="D49" s="49" t="s">
        <v>197</v>
      </c>
      <c r="E49" s="42" t="s">
        <v>196</v>
      </c>
      <c r="F49" s="88">
        <v>5.6727000000000001E-5</v>
      </c>
      <c r="G49" s="42" t="s">
        <v>235</v>
      </c>
      <c r="H49" s="73">
        <f>(((J49)*(990/1000))/1000)*0.3</f>
        <v>5.6727000000000001E-5</v>
      </c>
      <c r="I49" s="51"/>
      <c r="J49" s="42">
        <v>0.191</v>
      </c>
      <c r="K49" s="51"/>
      <c r="L49" t="s">
        <v>220</v>
      </c>
      <c r="M49" t="s">
        <v>236</v>
      </c>
    </row>
    <row r="50" spans="3:23" ht="16.5" x14ac:dyDescent="0.35">
      <c r="C50" s="49" t="s">
        <v>191</v>
      </c>
      <c r="D50" s="49" t="s">
        <v>198</v>
      </c>
      <c r="E50" s="42" t="s">
        <v>196</v>
      </c>
      <c r="F50" s="88">
        <v>6.5933999999999996E-5</v>
      </c>
      <c r="G50" s="42" t="s">
        <v>235</v>
      </c>
      <c r="H50" s="73">
        <f>(((J50)*(990/1000))/1000)*0.3</f>
        <v>6.5933999999999996E-5</v>
      </c>
      <c r="I50" s="51"/>
      <c r="J50" s="42">
        <v>0.222</v>
      </c>
      <c r="K50" s="51"/>
      <c r="L50" t="s">
        <v>220</v>
      </c>
      <c r="M50" t="s">
        <v>236</v>
      </c>
    </row>
    <row r="51" spans="3:23" ht="16.5" x14ac:dyDescent="0.35">
      <c r="C51" s="49" t="s">
        <v>193</v>
      </c>
      <c r="D51" s="49" t="s">
        <v>199</v>
      </c>
      <c r="E51" s="42" t="s">
        <v>196</v>
      </c>
      <c r="F51" s="88">
        <v>1.023295E-4</v>
      </c>
      <c r="G51" s="42" t="s">
        <v>235</v>
      </c>
      <c r="H51" s="73">
        <f>(1850*0.005/1000)*0.00493+H49</f>
        <v>1.023295E-4</v>
      </c>
      <c r="I51" s="51"/>
      <c r="J51" s="42"/>
      <c r="K51" s="51"/>
      <c r="L51" t="s">
        <v>220</v>
      </c>
      <c r="M51" t="s">
        <v>237</v>
      </c>
      <c r="W51" s="175" t="s">
        <v>243</v>
      </c>
    </row>
    <row r="52" spans="3:23" ht="16.5" x14ac:dyDescent="0.35">
      <c r="C52" s="49" t="s">
        <v>194</v>
      </c>
      <c r="D52" s="49" t="s">
        <v>200</v>
      </c>
      <c r="E52" s="42" t="s">
        <v>196</v>
      </c>
      <c r="F52" s="88">
        <v>1.1153650000000001E-4</v>
      </c>
      <c r="G52" s="42" t="s">
        <v>235</v>
      </c>
      <c r="H52" s="73">
        <f>(1850*0.005/1000)*0.00493+H50</f>
        <v>1.1153650000000001E-4</v>
      </c>
      <c r="I52" s="51"/>
      <c r="J52" s="42"/>
      <c r="K52" s="51"/>
      <c r="L52" t="s">
        <v>220</v>
      </c>
      <c r="M52" t="s">
        <v>237</v>
      </c>
      <c r="W52" s="175"/>
    </row>
    <row r="53" spans="3:23" ht="16.5" x14ac:dyDescent="0.35">
      <c r="C53" s="49" t="s">
        <v>189</v>
      </c>
      <c r="D53" s="49" t="s">
        <v>201</v>
      </c>
      <c r="E53" s="42" t="s">
        <v>196</v>
      </c>
      <c r="F53" s="88">
        <v>5.6727000000000001E-5</v>
      </c>
      <c r="G53" s="42" t="s">
        <v>235</v>
      </c>
      <c r="H53" s="73">
        <f>(((J53)*(990/1000))/1000)*0.3</f>
        <v>5.6727000000000001E-5</v>
      </c>
      <c r="I53" s="51"/>
      <c r="J53" s="42">
        <v>0.191</v>
      </c>
      <c r="K53" s="51"/>
      <c r="L53" t="s">
        <v>220</v>
      </c>
      <c r="M53" t="s">
        <v>236</v>
      </c>
      <c r="W53" s="175"/>
    </row>
    <row r="54" spans="3:23" ht="16.5" x14ac:dyDescent="0.35">
      <c r="C54" s="49" t="s">
        <v>195</v>
      </c>
      <c r="D54" s="49" t="s">
        <v>202</v>
      </c>
      <c r="E54" s="42" t="s">
        <v>196</v>
      </c>
      <c r="F54" s="88">
        <v>6.5933999999999996E-5</v>
      </c>
      <c r="G54" s="42" t="s">
        <v>235</v>
      </c>
      <c r="H54" s="73">
        <f>(((J54)*(990/1000))/1000)*0.3</f>
        <v>6.5933999999999996E-5</v>
      </c>
      <c r="I54" s="51"/>
      <c r="J54" s="42">
        <v>0.222</v>
      </c>
      <c r="K54" s="51"/>
      <c r="L54" t="s">
        <v>220</v>
      </c>
      <c r="M54" t="s">
        <v>236</v>
      </c>
      <c r="W54" s="175"/>
    </row>
    <row r="55" spans="3:23" x14ac:dyDescent="0.35">
      <c r="C55" s="51"/>
      <c r="D55" s="51"/>
      <c r="E55" s="51"/>
      <c r="G55" s="51"/>
      <c r="H55" s="51"/>
      <c r="I55" s="51"/>
      <c r="J55" s="51"/>
      <c r="K55" s="51"/>
    </row>
    <row r="56" spans="3:23" x14ac:dyDescent="0.35">
      <c r="C56" s="53" t="s">
        <v>115</v>
      </c>
      <c r="D56" s="51"/>
      <c r="E56" s="51"/>
      <c r="G56" s="51"/>
      <c r="H56" s="51"/>
      <c r="I56" s="51"/>
      <c r="J56" s="51"/>
      <c r="K56" s="51"/>
    </row>
    <row r="57" spans="3:23" ht="43.5" x14ac:dyDescent="0.35">
      <c r="C57" s="46" t="s">
        <v>116</v>
      </c>
      <c r="D57" s="46" t="s">
        <v>47</v>
      </c>
      <c r="E57" s="54" t="s">
        <v>82</v>
      </c>
      <c r="F57" s="10" t="s">
        <v>67</v>
      </c>
      <c r="G57" s="54" t="s">
        <v>99</v>
      </c>
      <c r="H57" s="54" t="s">
        <v>219</v>
      </c>
      <c r="I57" s="51"/>
      <c r="J57" s="51"/>
      <c r="K57" s="51"/>
    </row>
    <row r="58" spans="3:23" ht="17.5" x14ac:dyDescent="0.45">
      <c r="C58" s="49" t="s">
        <v>76</v>
      </c>
      <c r="D58" s="49" t="s">
        <v>83</v>
      </c>
      <c r="E58" s="42" t="s">
        <v>138</v>
      </c>
      <c r="F58" s="90">
        <v>0.29022770234537998</v>
      </c>
      <c r="G58" s="42" t="s">
        <v>291</v>
      </c>
      <c r="H58" s="74">
        <v>2400</v>
      </c>
      <c r="I58" s="51"/>
      <c r="J58" s="41">
        <v>0.120928209310575</v>
      </c>
      <c r="K58" s="51"/>
      <c r="L58" t="s">
        <v>220</v>
      </c>
      <c r="M58" t="s">
        <v>229</v>
      </c>
    </row>
    <row r="59" spans="3:23" ht="17.5" x14ac:dyDescent="0.45">
      <c r="C59" s="49" t="s">
        <v>77</v>
      </c>
      <c r="D59" s="49" t="s">
        <v>84</v>
      </c>
      <c r="E59" s="42" t="s">
        <v>138</v>
      </c>
      <c r="F59" s="90">
        <v>0.30857263931670004</v>
      </c>
      <c r="G59" s="42" t="s">
        <v>291</v>
      </c>
      <c r="H59" s="74">
        <v>2400</v>
      </c>
      <c r="I59" s="51"/>
      <c r="J59" s="41">
        <v>0.12857193304862502</v>
      </c>
      <c r="K59" s="51"/>
      <c r="L59" t="s">
        <v>220</v>
      </c>
      <c r="M59" t="s">
        <v>229</v>
      </c>
    </row>
    <row r="60" spans="3:23" ht="17.5" x14ac:dyDescent="0.45">
      <c r="C60" s="49" t="s">
        <v>78</v>
      </c>
      <c r="D60" s="49" t="s">
        <v>85</v>
      </c>
      <c r="E60" s="42" t="s">
        <v>138</v>
      </c>
      <c r="F60" s="90">
        <v>0.32684414531669997</v>
      </c>
      <c r="G60" s="42" t="s">
        <v>291</v>
      </c>
      <c r="H60" s="74">
        <v>2400</v>
      </c>
      <c r="I60" s="51"/>
      <c r="J60" s="41">
        <v>0.136185060548625</v>
      </c>
      <c r="K60" s="51"/>
      <c r="L60" t="s">
        <v>220</v>
      </c>
      <c r="M60" t="s">
        <v>229</v>
      </c>
    </row>
    <row r="61" spans="3:23" ht="17.5" x14ac:dyDescent="0.45">
      <c r="C61" s="49" t="s">
        <v>79</v>
      </c>
      <c r="D61" s="49" t="s">
        <v>86</v>
      </c>
      <c r="E61" s="42" t="s">
        <v>138</v>
      </c>
      <c r="F61" s="90">
        <v>0.35875808834060002</v>
      </c>
      <c r="G61" s="42" t="s">
        <v>291</v>
      </c>
      <c r="H61" s="74">
        <v>2400</v>
      </c>
      <c r="I61" s="51"/>
      <c r="J61" s="41">
        <v>0.14948253680858334</v>
      </c>
      <c r="K61" s="51"/>
      <c r="L61" t="s">
        <v>220</v>
      </c>
      <c r="M61" t="s">
        <v>229</v>
      </c>
    </row>
    <row r="62" spans="3:23" ht="17.5" x14ac:dyDescent="0.45">
      <c r="C62" s="49" t="s">
        <v>80</v>
      </c>
      <c r="D62" s="49" t="s">
        <v>87</v>
      </c>
      <c r="E62" s="42" t="s">
        <v>138</v>
      </c>
      <c r="F62" s="90">
        <v>0.38609803561688993</v>
      </c>
      <c r="G62" s="42" t="s">
        <v>291</v>
      </c>
      <c r="H62" s="74">
        <v>2400</v>
      </c>
      <c r="I62" s="51"/>
      <c r="J62" s="41">
        <v>0.16087418150703747</v>
      </c>
      <c r="K62" s="51"/>
      <c r="L62" t="s">
        <v>220</v>
      </c>
      <c r="M62" t="s">
        <v>229</v>
      </c>
    </row>
    <row r="63" spans="3:23" ht="17.5" x14ac:dyDescent="0.45">
      <c r="C63" s="49" t="s">
        <v>81</v>
      </c>
      <c r="D63" s="49" t="s">
        <v>88</v>
      </c>
      <c r="E63" s="42" t="s">
        <v>138</v>
      </c>
      <c r="F63" s="90">
        <v>0.41349427997119198</v>
      </c>
      <c r="G63" s="42" t="s">
        <v>291</v>
      </c>
      <c r="H63" s="74">
        <v>2400</v>
      </c>
      <c r="I63" s="51"/>
      <c r="J63" s="41">
        <v>0.17228928332133001</v>
      </c>
      <c r="K63" s="51"/>
      <c r="L63" t="s">
        <v>220</v>
      </c>
      <c r="M63" t="s">
        <v>229</v>
      </c>
    </row>
    <row r="64" spans="3:23" x14ac:dyDescent="0.35">
      <c r="C64" s="49"/>
      <c r="D64" s="49"/>
      <c r="E64" s="49"/>
      <c r="F64" s="93"/>
      <c r="G64" s="49"/>
      <c r="H64" s="75"/>
      <c r="I64" s="51"/>
      <c r="J64" s="76"/>
      <c r="K64" s="51"/>
    </row>
    <row r="65" spans="3:13" ht="17.5" x14ac:dyDescent="0.45">
      <c r="C65" s="49" t="s">
        <v>312</v>
      </c>
      <c r="D65" s="49" t="s">
        <v>318</v>
      </c>
      <c r="E65" s="42" t="s">
        <v>138</v>
      </c>
      <c r="F65" s="90">
        <v>0.22603949209964713</v>
      </c>
      <c r="G65" s="42" t="s">
        <v>291</v>
      </c>
      <c r="H65" s="74">
        <v>2400</v>
      </c>
      <c r="I65" s="51"/>
      <c r="J65" s="41">
        <v>9.418312170818631E-2</v>
      </c>
      <c r="K65" s="51"/>
      <c r="L65" t="s">
        <v>220</v>
      </c>
      <c r="M65" t="s">
        <v>229</v>
      </c>
    </row>
    <row r="66" spans="3:13" ht="17.5" x14ac:dyDescent="0.45">
      <c r="C66" s="49" t="s">
        <v>313</v>
      </c>
      <c r="D66" s="49" t="s">
        <v>319</v>
      </c>
      <c r="E66" s="42" t="s">
        <v>138</v>
      </c>
      <c r="F66" s="90">
        <v>0.24024025799422788</v>
      </c>
      <c r="G66" s="42" t="s">
        <v>291</v>
      </c>
      <c r="H66" s="74">
        <v>2400</v>
      </c>
      <c r="I66" s="51"/>
      <c r="J66" s="41">
        <v>0.10010010749759496</v>
      </c>
      <c r="K66" s="51"/>
      <c r="L66" t="s">
        <v>220</v>
      </c>
      <c r="M66" t="s">
        <v>229</v>
      </c>
    </row>
    <row r="67" spans="3:13" ht="17.5" x14ac:dyDescent="0.45">
      <c r="C67" s="49" t="s">
        <v>314</v>
      </c>
      <c r="D67" s="49" t="s">
        <v>320</v>
      </c>
      <c r="E67" s="42" t="s">
        <v>138</v>
      </c>
      <c r="F67" s="90">
        <v>0.25762147161195292</v>
      </c>
      <c r="G67" s="42" t="s">
        <v>291</v>
      </c>
      <c r="H67" s="74">
        <v>2400</v>
      </c>
      <c r="I67" s="51"/>
      <c r="J67" s="41">
        <v>0.10734227983831372</v>
      </c>
      <c r="K67" s="51"/>
      <c r="L67" t="s">
        <v>220</v>
      </c>
      <c r="M67" t="s">
        <v>229</v>
      </c>
    </row>
    <row r="68" spans="3:13" ht="17.5" x14ac:dyDescent="0.45">
      <c r="C68" s="49" t="s">
        <v>315</v>
      </c>
      <c r="D68" s="49" t="s">
        <v>321</v>
      </c>
      <c r="E68" s="42" t="s">
        <v>138</v>
      </c>
      <c r="F68" s="90">
        <v>0.28884406689636904</v>
      </c>
      <c r="G68" s="42" t="s">
        <v>291</v>
      </c>
      <c r="H68" s="74">
        <v>2400</v>
      </c>
      <c r="I68" s="51"/>
      <c r="J68" s="41">
        <v>0.12035169454015378</v>
      </c>
      <c r="K68" s="51"/>
      <c r="L68" t="s">
        <v>220</v>
      </c>
      <c r="M68" t="s">
        <v>229</v>
      </c>
    </row>
    <row r="69" spans="3:13" ht="17.5" x14ac:dyDescent="0.45">
      <c r="C69" s="49" t="s">
        <v>316</v>
      </c>
      <c r="D69" s="49" t="s">
        <v>322</v>
      </c>
      <c r="E69" s="42" t="s">
        <v>138</v>
      </c>
      <c r="F69" s="90">
        <v>0.31048435955953901</v>
      </c>
      <c r="G69" s="42" t="s">
        <v>291</v>
      </c>
      <c r="H69" s="74">
        <v>2400</v>
      </c>
      <c r="I69" s="51"/>
      <c r="J69" s="41">
        <v>0.12936848314980792</v>
      </c>
      <c r="K69" s="51"/>
      <c r="L69" t="s">
        <v>220</v>
      </c>
      <c r="M69" t="s">
        <v>229</v>
      </c>
    </row>
    <row r="70" spans="3:13" ht="17.5" x14ac:dyDescent="0.45">
      <c r="C70" s="49" t="s">
        <v>317</v>
      </c>
      <c r="D70" s="49" t="s">
        <v>323</v>
      </c>
      <c r="E70" s="42" t="s">
        <v>138</v>
      </c>
      <c r="F70" s="90">
        <v>0.33201658586423627</v>
      </c>
      <c r="G70" s="42" t="s">
        <v>291</v>
      </c>
      <c r="H70" s="74">
        <v>2400</v>
      </c>
      <c r="I70" s="51"/>
      <c r="J70" s="41">
        <v>0.13834024411009846</v>
      </c>
      <c r="K70" s="51"/>
      <c r="L70" t="s">
        <v>220</v>
      </c>
      <c r="M70" t="s">
        <v>229</v>
      </c>
    </row>
    <row r="71" spans="3:13" x14ac:dyDescent="0.35">
      <c r="C71" s="49"/>
      <c r="D71" s="49"/>
      <c r="E71" s="49"/>
      <c r="F71" s="93"/>
      <c r="G71" s="49"/>
      <c r="H71" s="75"/>
      <c r="I71" s="51"/>
      <c r="J71" s="76"/>
      <c r="K71" s="51"/>
    </row>
    <row r="72" spans="3:13" ht="17.5" x14ac:dyDescent="0.45">
      <c r="C72" s="49" t="s">
        <v>70</v>
      </c>
      <c r="D72" s="49" t="s">
        <v>93</v>
      </c>
      <c r="E72" s="42" t="s">
        <v>138</v>
      </c>
      <c r="F72" s="90">
        <v>0.23730534382769694</v>
      </c>
      <c r="G72" s="42" t="s">
        <v>291</v>
      </c>
      <c r="H72" s="74">
        <v>2400</v>
      </c>
      <c r="I72" s="51"/>
      <c r="J72" s="41">
        <v>9.8877226594873732E-2</v>
      </c>
      <c r="K72" s="51"/>
      <c r="L72" t="s">
        <v>220</v>
      </c>
      <c r="M72" t="s">
        <v>229</v>
      </c>
    </row>
    <row r="73" spans="3:13" ht="17.5" x14ac:dyDescent="0.45">
      <c r="C73" s="49" t="s">
        <v>71</v>
      </c>
      <c r="D73" s="49" t="s">
        <v>94</v>
      </c>
      <c r="E73" s="42" t="s">
        <v>138</v>
      </c>
      <c r="F73" s="90">
        <v>0.25209358092947892</v>
      </c>
      <c r="G73" s="42" t="s">
        <v>291</v>
      </c>
      <c r="H73" s="74">
        <v>2400</v>
      </c>
      <c r="I73" s="51"/>
      <c r="J73" s="41">
        <v>0.10503899205394956</v>
      </c>
      <c r="K73" s="51"/>
      <c r="L73" t="s">
        <v>220</v>
      </c>
      <c r="M73" t="s">
        <v>229</v>
      </c>
    </row>
    <row r="74" spans="3:13" ht="17.5" x14ac:dyDescent="0.45">
      <c r="C74" s="49" t="s">
        <v>72</v>
      </c>
      <c r="D74" s="49" t="s">
        <v>95</v>
      </c>
      <c r="E74" s="42" t="s">
        <v>138</v>
      </c>
      <c r="F74" s="90">
        <v>0.27140807403872264</v>
      </c>
      <c r="G74" s="42" t="s">
        <v>291</v>
      </c>
      <c r="H74" s="74">
        <v>2400</v>
      </c>
      <c r="I74" s="51"/>
      <c r="J74" s="41">
        <v>0.11308669751613443</v>
      </c>
      <c r="K74" s="51"/>
      <c r="L74" t="s">
        <v>220</v>
      </c>
      <c r="M74" t="s">
        <v>229</v>
      </c>
    </row>
    <row r="75" spans="3:13" ht="17.5" x14ac:dyDescent="0.45">
      <c r="C75" s="49" t="s">
        <v>73</v>
      </c>
      <c r="D75" s="49" t="s">
        <v>96</v>
      </c>
      <c r="E75" s="42" t="s">
        <v>138</v>
      </c>
      <c r="F75" s="90">
        <v>0.30031810700400002</v>
      </c>
      <c r="G75" s="42" t="s">
        <v>291</v>
      </c>
      <c r="H75" s="74">
        <v>2400</v>
      </c>
      <c r="I75" s="51"/>
      <c r="J75" s="41">
        <v>0.12513254458500001</v>
      </c>
      <c r="K75" s="51"/>
      <c r="L75" t="s">
        <v>220</v>
      </c>
      <c r="M75" t="s">
        <v>229</v>
      </c>
    </row>
    <row r="76" spans="3:13" ht="17.5" x14ac:dyDescent="0.45">
      <c r="C76" s="49" t="s">
        <v>74</v>
      </c>
      <c r="D76" s="49" t="s">
        <v>97</v>
      </c>
      <c r="E76" s="42" t="s">
        <v>138</v>
      </c>
      <c r="F76" s="90">
        <v>0.31854451107448106</v>
      </c>
      <c r="G76" s="42" t="s">
        <v>291</v>
      </c>
      <c r="H76" s="74">
        <v>2400</v>
      </c>
      <c r="I76" s="51"/>
      <c r="J76" s="41">
        <v>0.1327268796143671</v>
      </c>
      <c r="K76" s="51"/>
      <c r="L76" t="s">
        <v>220</v>
      </c>
      <c r="M76" t="s">
        <v>229</v>
      </c>
    </row>
    <row r="77" spans="3:13" ht="17.5" x14ac:dyDescent="0.45">
      <c r="C77" s="49" t="s">
        <v>75</v>
      </c>
      <c r="D77" s="49" t="s">
        <v>98</v>
      </c>
      <c r="E77" s="42" t="s">
        <v>138</v>
      </c>
      <c r="F77" s="90">
        <v>0.34059012542421035</v>
      </c>
      <c r="G77" s="42" t="s">
        <v>291</v>
      </c>
      <c r="H77" s="74">
        <v>2400</v>
      </c>
      <c r="I77" s="51"/>
      <c r="J77" s="41">
        <v>0.14191255226008764</v>
      </c>
      <c r="K77" s="51"/>
      <c r="L77" t="s">
        <v>220</v>
      </c>
      <c r="M77" t="s">
        <v>229</v>
      </c>
    </row>
    <row r="78" spans="3:13" x14ac:dyDescent="0.35">
      <c r="C78" s="51"/>
      <c r="D78" s="51"/>
      <c r="E78" s="51"/>
      <c r="F78" s="94"/>
      <c r="G78" s="49"/>
      <c r="H78" s="51"/>
      <c r="I78" s="51"/>
      <c r="J78" s="51"/>
      <c r="K78" s="51"/>
    </row>
    <row r="79" spans="3:13" ht="16.5" x14ac:dyDescent="0.45">
      <c r="C79" s="49" t="s">
        <v>203</v>
      </c>
      <c r="D79" s="49" t="s">
        <v>192</v>
      </c>
      <c r="E79" s="42" t="s">
        <v>141</v>
      </c>
      <c r="F79" s="90">
        <v>1.99</v>
      </c>
      <c r="G79" s="42" t="s">
        <v>292</v>
      </c>
      <c r="H79" s="74">
        <v>8000</v>
      </c>
      <c r="I79" s="51"/>
      <c r="J79" s="51"/>
      <c r="K79" s="51"/>
      <c r="L79" t="s">
        <v>220</v>
      </c>
    </row>
    <row r="80" spans="3:13" x14ac:dyDescent="0.35">
      <c r="C80" s="51"/>
      <c r="D80" s="51"/>
      <c r="E80" s="51"/>
      <c r="F80" s="94"/>
      <c r="G80" s="51"/>
      <c r="H80" s="51"/>
      <c r="I80" s="51"/>
      <c r="J80" s="51"/>
      <c r="K80" s="51"/>
    </row>
    <row r="81" spans="3:13" x14ac:dyDescent="0.35">
      <c r="C81" s="53" t="s">
        <v>246</v>
      </c>
      <c r="D81" s="51"/>
      <c r="E81" s="51"/>
      <c r="F81" s="95"/>
      <c r="G81" s="51"/>
      <c r="H81" s="51"/>
      <c r="I81" s="51"/>
      <c r="J81" s="51"/>
      <c r="K81" s="51"/>
    </row>
    <row r="82" spans="3:13" ht="16.5" x14ac:dyDescent="0.45">
      <c r="C82" s="49" t="s">
        <v>244</v>
      </c>
      <c r="D82" s="49"/>
      <c r="E82" s="42" t="s">
        <v>141</v>
      </c>
      <c r="F82" s="88">
        <v>3.1E-4</v>
      </c>
      <c r="G82" s="42" t="s">
        <v>293</v>
      </c>
      <c r="H82" s="51"/>
      <c r="I82" s="51"/>
      <c r="J82" s="51"/>
      <c r="K82" s="51"/>
      <c r="L82" t="s">
        <v>208</v>
      </c>
      <c r="M82" t="s">
        <v>245</v>
      </c>
    </row>
    <row r="83" spans="3:13" ht="16.5" x14ac:dyDescent="0.45">
      <c r="C83" s="49" t="s">
        <v>247</v>
      </c>
      <c r="D83" s="49"/>
      <c r="E83" s="42" t="s">
        <v>141</v>
      </c>
      <c r="F83" s="88">
        <v>1E-4</v>
      </c>
      <c r="G83" s="42" t="s">
        <v>293</v>
      </c>
      <c r="H83" s="51"/>
      <c r="I83" s="51"/>
      <c r="J83" s="51"/>
      <c r="K83" s="51"/>
      <c r="L83" t="s">
        <v>220</v>
      </c>
      <c r="M83" t="s">
        <v>245</v>
      </c>
    </row>
  </sheetData>
  <sheetProtection algorithmName="SHA-512" hashValue="tAAFuxjs2CgYKg7XRNzHuDTKv9ZQSu4F/G58QbFo+4bDoQ169LQZs1NmFFxN/TWKLZ5ODP1Kw2w6KR5R1D9IjA==" saltValue="p3ncTqAB+tjcKoqBLCfALg==" spinCount="100000" sheet="1" objects="1" scenarios="1" formatCells="0" formatColumns="0" formatRows="0" insertHyperlinks="0" sort="0" autoFilter="0"/>
  <mergeCells count="3">
    <mergeCell ref="W44:W48"/>
    <mergeCell ref="W40:W43"/>
    <mergeCell ref="W51:W54"/>
  </mergeCells>
  <phoneticPr fontId="2"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A5CD-B89C-4010-BC84-6DC7CDED98F9}">
  <sheetPr>
    <tabColor rgb="FFFF0000"/>
  </sheetPr>
  <dimension ref="C2:D24"/>
  <sheetViews>
    <sheetView workbookViewId="0">
      <selection activeCell="F2" sqref="F2"/>
    </sheetView>
  </sheetViews>
  <sheetFormatPr defaultRowHeight="14.5" x14ac:dyDescent="0.35"/>
  <cols>
    <col min="3" max="3" width="18.1796875" customWidth="1"/>
    <col min="4" max="4" width="99.26953125" customWidth="1"/>
  </cols>
  <sheetData>
    <row r="2" spans="3:4" ht="117.5" customHeight="1" x14ac:dyDescent="0.35">
      <c r="C2" s="36" t="s">
        <v>271</v>
      </c>
      <c r="D2" s="38" t="s">
        <v>284</v>
      </c>
    </row>
    <row r="3" spans="3:4" x14ac:dyDescent="0.35">
      <c r="C3" s="1"/>
      <c r="D3" s="1"/>
    </row>
    <row r="4" spans="3:4" x14ac:dyDescent="0.35">
      <c r="C4" s="2" t="s">
        <v>270</v>
      </c>
      <c r="D4" s="3" t="s">
        <v>47</v>
      </c>
    </row>
    <row r="5" spans="3:4" ht="14.5" customHeight="1" x14ac:dyDescent="0.35">
      <c r="C5" s="138" t="s">
        <v>259</v>
      </c>
      <c r="D5" s="19" t="s">
        <v>267</v>
      </c>
    </row>
    <row r="6" spans="3:4" x14ac:dyDescent="0.35">
      <c r="C6" s="138"/>
      <c r="D6" s="4"/>
    </row>
    <row r="7" spans="3:4" ht="72.5" x14ac:dyDescent="0.35">
      <c r="C7" s="138" t="s">
        <v>268</v>
      </c>
      <c r="D7" s="37" t="s">
        <v>269</v>
      </c>
    </row>
    <row r="8" spans="3:4" x14ac:dyDescent="0.35">
      <c r="C8" s="138"/>
      <c r="D8" s="4"/>
    </row>
    <row r="9" spans="3:4" ht="101.5" x14ac:dyDescent="0.35">
      <c r="C9" s="138" t="s">
        <v>260</v>
      </c>
      <c r="D9" s="19" t="s">
        <v>279</v>
      </c>
    </row>
    <row r="10" spans="3:4" x14ac:dyDescent="0.35">
      <c r="C10" s="138"/>
      <c r="D10" s="4"/>
    </row>
    <row r="11" spans="3:4" ht="29" x14ac:dyDescent="0.35">
      <c r="C11" s="139" t="s">
        <v>261</v>
      </c>
      <c r="D11" s="25" t="s">
        <v>278</v>
      </c>
    </row>
    <row r="12" spans="3:4" x14ac:dyDescent="0.35">
      <c r="C12" s="139"/>
      <c r="D12" s="4"/>
    </row>
    <row r="13" spans="3:4" ht="76.5" customHeight="1" x14ac:dyDescent="0.35">
      <c r="C13" s="140" t="s">
        <v>262</v>
      </c>
      <c r="D13" s="37" t="s">
        <v>280</v>
      </c>
    </row>
    <row r="14" spans="3:4" x14ac:dyDescent="0.35">
      <c r="C14" s="140"/>
      <c r="D14" s="4"/>
    </row>
    <row r="15" spans="3:4" ht="59" customHeight="1" x14ac:dyDescent="0.35">
      <c r="C15" s="137" t="s">
        <v>263</v>
      </c>
      <c r="D15" s="37" t="s">
        <v>272</v>
      </c>
    </row>
    <row r="16" spans="3:4" x14ac:dyDescent="0.35">
      <c r="C16" s="137"/>
      <c r="D16" s="4"/>
    </row>
    <row r="17" spans="3:4" ht="32" customHeight="1" x14ac:dyDescent="0.35">
      <c r="C17" s="137" t="s">
        <v>264</v>
      </c>
      <c r="D17" s="37" t="s">
        <v>275</v>
      </c>
    </row>
    <row r="18" spans="3:4" x14ac:dyDescent="0.35">
      <c r="C18" s="137"/>
      <c r="D18" s="4"/>
    </row>
    <row r="19" spans="3:4" ht="43.5" x14ac:dyDescent="0.35">
      <c r="C19" s="137" t="s">
        <v>265</v>
      </c>
      <c r="D19" s="19" t="s">
        <v>277</v>
      </c>
    </row>
    <row r="20" spans="3:4" x14ac:dyDescent="0.35">
      <c r="C20" s="137"/>
      <c r="D20" s="4"/>
    </row>
    <row r="21" spans="3:4" ht="32.5" customHeight="1" x14ac:dyDescent="0.35">
      <c r="C21" s="137" t="s">
        <v>266</v>
      </c>
      <c r="D21" s="77" t="s">
        <v>276</v>
      </c>
    </row>
    <row r="22" spans="3:4" x14ac:dyDescent="0.35">
      <c r="C22" s="137"/>
      <c r="D22" s="4"/>
    </row>
    <row r="23" spans="3:4" ht="29" customHeight="1" x14ac:dyDescent="0.35">
      <c r="C23" s="137" t="s">
        <v>274</v>
      </c>
      <c r="D23" s="77" t="s">
        <v>273</v>
      </c>
    </row>
    <row r="24" spans="3:4" x14ac:dyDescent="0.35">
      <c r="C24" s="137"/>
      <c r="D24" s="4"/>
    </row>
  </sheetData>
  <sheetProtection algorithmName="SHA-512" hashValue="UdKB8HQbOVtu3dcobm+LhoH33eenwV29RSdoHCPrFxW9Y5i/fBe2RxaVcOuVWhR6uanPP96nCkBrCLmRu8GEKA==" saltValue="YZ0YiO4d1XcN4BK+YnK7TQ==" spinCount="100000" sheet="1" objects="1" scenarios="1"/>
  <mergeCells count="10">
    <mergeCell ref="C21:C22"/>
    <mergeCell ref="C23:C24"/>
    <mergeCell ref="C5:C6"/>
    <mergeCell ref="C7:C8"/>
    <mergeCell ref="C9:C10"/>
    <mergeCell ref="C11:C12"/>
    <mergeCell ref="C13:C14"/>
    <mergeCell ref="C15:C16"/>
    <mergeCell ref="C17:C18"/>
    <mergeCell ref="C19: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ED479-C2B7-4C36-9D3F-6B27CF95C489}">
  <sheetPr>
    <tabColor theme="6" tint="0.79998168889431442"/>
  </sheetPr>
  <dimension ref="B2:I36"/>
  <sheetViews>
    <sheetView tabSelected="1" workbookViewId="0">
      <selection activeCell="F30" sqref="F30"/>
    </sheetView>
  </sheetViews>
  <sheetFormatPr defaultRowHeight="14.5" x14ac:dyDescent="0.35"/>
  <cols>
    <col min="2" max="2" width="44.6328125" customWidth="1"/>
    <col min="3" max="9" width="12.6328125" customWidth="1"/>
  </cols>
  <sheetData>
    <row r="2" spans="2:9" x14ac:dyDescent="0.35">
      <c r="B2" s="104" t="s">
        <v>282</v>
      </c>
    </row>
    <row r="3" spans="2:9" ht="29" x14ac:dyDescent="0.35">
      <c r="B3" s="105" t="s">
        <v>6</v>
      </c>
      <c r="C3" s="3" t="s">
        <v>1</v>
      </c>
      <c r="D3" s="3" t="s">
        <v>2</v>
      </c>
      <c r="E3" s="3" t="s">
        <v>3</v>
      </c>
      <c r="F3" s="3" t="s">
        <v>4</v>
      </c>
      <c r="G3" s="3" t="s">
        <v>7</v>
      </c>
      <c r="H3" s="3" t="s">
        <v>8</v>
      </c>
      <c r="I3" s="9"/>
    </row>
    <row r="4" spans="2:9" x14ac:dyDescent="0.35">
      <c r="B4" s="99" t="s">
        <v>176</v>
      </c>
      <c r="C4" s="40">
        <f>IF('Summary of Section Costs'!D16=0,0.00001,'Summary of Section Costs'!D16)</f>
        <v>5.7287699999999999</v>
      </c>
      <c r="D4" s="40">
        <f>IF('Summary of Section Costs'!D32=0,0.00001,'Summary of Section Costs'!D32)</f>
        <v>5.5376449999999995</v>
      </c>
      <c r="E4" s="40">
        <f>IF('Summary of Section Costs'!D48=0,0.00001,'Summary of Section Costs'!D48)</f>
        <v>1.0000000000000001E-5</v>
      </c>
      <c r="F4" s="40">
        <f>IF('Summary of Section Costs'!D64=0,0.00001,'Summary of Section Costs'!D64)</f>
        <v>1.0000000000000001E-5</v>
      </c>
      <c r="G4" s="41" cm="1">
        <f t="array" ref="G4">MIN(IF(C4:F4&gt;0.00001,C4:F4))</f>
        <v>5.5376449999999995</v>
      </c>
      <c r="H4" s="41" cm="1">
        <f t="array" ref="H4">MAX(IF(C4:F4&gt;0.00001,C4:F4))</f>
        <v>5.7287699999999999</v>
      </c>
    </row>
    <row r="5" spans="2:9" x14ac:dyDescent="0.35">
      <c r="B5" s="99" t="s">
        <v>177</v>
      </c>
      <c r="C5" s="40">
        <f>IF('Summary of Section Costs'!E16=0,0.00001,'Summary of Section Costs'!E16)</f>
        <v>0.64</v>
      </c>
      <c r="D5" s="40">
        <f>IF('Summary of Section Costs'!E32=0,0.00001,'Summary of Section Costs'!E32)</f>
        <v>0.64</v>
      </c>
      <c r="E5" s="40">
        <f>IF('Summary of Section Costs'!E48=0,0.00001,'Summary of Section Costs'!E48)</f>
        <v>1.0000000000000001E-5</v>
      </c>
      <c r="F5" s="40">
        <f>IF('Summary of Section Costs'!E64=0,0.00001,'Summary of Section Costs'!E64)</f>
        <v>1.0000000000000001E-5</v>
      </c>
      <c r="G5" s="41" cm="1">
        <f t="array" ref="G5">MIN(IF(C5:F5&gt;0.00001,C5:F5))</f>
        <v>0.64</v>
      </c>
      <c r="H5" s="41" cm="1">
        <f t="array" ref="H5">MAX(IF(C5:F5&gt;0.00001,C5:F5))</f>
        <v>0.64</v>
      </c>
    </row>
    <row r="6" spans="2:9" x14ac:dyDescent="0.35">
      <c r="B6" s="99" t="s">
        <v>175</v>
      </c>
      <c r="C6" s="83">
        <v>0.8</v>
      </c>
      <c r="D6" s="83">
        <v>0.6</v>
      </c>
      <c r="E6" s="83">
        <v>0</v>
      </c>
      <c r="F6" s="83">
        <v>0</v>
      </c>
      <c r="G6" s="41" cm="1">
        <f t="array" ref="G6">MIN(IF(C6:F6&gt;0.00001,C6:F6))</f>
        <v>0.6</v>
      </c>
      <c r="H6" s="41" cm="1">
        <f t="array" ref="H6">MAX(IF(C6:F6&gt;0.00001,C6:F6))</f>
        <v>0.8</v>
      </c>
    </row>
    <row r="7" spans="2:9" x14ac:dyDescent="0.35">
      <c r="B7" s="99" t="s">
        <v>174</v>
      </c>
      <c r="C7" s="84">
        <v>10</v>
      </c>
      <c r="D7" s="84">
        <v>14</v>
      </c>
      <c r="E7" s="84">
        <v>0</v>
      </c>
      <c r="F7" s="84">
        <v>0</v>
      </c>
      <c r="G7" s="43" cm="1">
        <f t="array" ref="G7">MIN(IF(C7:F7&gt;0.00001,C7:F7))</f>
        <v>10</v>
      </c>
      <c r="H7" s="43" cm="1">
        <f t="array" ref="H7">MAX(IF(C7:F7&gt;0.00001,C7:F7))</f>
        <v>14</v>
      </c>
    </row>
    <row r="8" spans="2:9" ht="16.5" x14ac:dyDescent="0.45">
      <c r="B8" s="99" t="s">
        <v>253</v>
      </c>
      <c r="C8" s="108">
        <f>IF('Summary of Emission Quantities'!J15=0,0.00001,'Summary of Emission Quantities'!J15)</f>
        <v>25470.464581927394</v>
      </c>
      <c r="D8" s="108">
        <f>IF('Summary of Emission Quantities'!J31=0,0.00001,'Summary of Emission Quantities'!J31)</f>
        <v>20389.262641856112</v>
      </c>
      <c r="E8" s="108">
        <f>IF('Summary of Emission Quantities'!J47=0,0.00001,'Summary of Emission Quantities'!J47)</f>
        <v>1.0000000000000001E-5</v>
      </c>
      <c r="F8" s="108">
        <f>IF('Summary of Emission Quantities'!J63=0,0.00001,'Summary of Emission Quantities'!J63)</f>
        <v>1.0000000000000001E-5</v>
      </c>
      <c r="G8" s="109" cm="1">
        <f t="array" ref="G8">MIN(IF(C8:F8&gt;0.00001,C8:F8))</f>
        <v>20389.262641856112</v>
      </c>
      <c r="H8" s="109" cm="1">
        <f t="array" ref="H8">MAX(IF(C8:F8&gt;0.00001,C8:F8))</f>
        <v>25470.464581927394</v>
      </c>
    </row>
    <row r="9" spans="2:9" x14ac:dyDescent="0.35">
      <c r="B9" s="99" t="s">
        <v>179</v>
      </c>
      <c r="C9" s="45">
        <f>IF('Resilience and ESIA Scores'!F10=0,0.00001,'Resilience and ESIA Scores'!F10)</f>
        <v>8</v>
      </c>
      <c r="D9" s="45">
        <f>IF('Resilience and ESIA Scores'!F21=0,0.00001,'Resilience and ESIA Scores'!F21)</f>
        <v>5</v>
      </c>
      <c r="E9" s="44">
        <f>IF('Resilience and ESIA Scores'!F32=0,0.00001,'Resilience and ESIA Scores'!F32)</f>
        <v>1.0000000000000001E-5</v>
      </c>
      <c r="F9" s="44">
        <f>IF('Resilience and ESIA Scores'!F43=0,0.00001,'Resilience and ESIA Scores'!F43)</f>
        <v>1.0000000000000001E-5</v>
      </c>
      <c r="G9" s="43" cm="1">
        <f t="array" ref="G9">MIN(IF(C9:F9&gt;0.00001,C9:F9))</f>
        <v>5</v>
      </c>
      <c r="H9" s="43" cm="1">
        <f t="array" ref="H9">MAX(IF(C9:F9&gt;0.00001,C9:F9))</f>
        <v>8</v>
      </c>
    </row>
    <row r="10" spans="2:9" x14ac:dyDescent="0.35">
      <c r="B10" s="99" t="s">
        <v>180</v>
      </c>
      <c r="C10" s="45">
        <f>IF('Resilience and ESIA Scores'!F11=0,0.00001,'Resilience and ESIA Scores'!F11)</f>
        <v>3</v>
      </c>
      <c r="D10" s="45">
        <f>IF('Resilience and ESIA Scores'!F22=0,0.00001,'Resilience and ESIA Scores'!F22)</f>
        <v>2</v>
      </c>
      <c r="E10" s="44">
        <f>IF('Resilience and ESIA Scores'!F33=0,0.00001,'Resilience and ESIA Scores'!F33)</f>
        <v>1.0000000000000001E-5</v>
      </c>
      <c r="F10" s="44">
        <f>IF('Resilience and ESIA Scores'!F44=0,0.00001,'Resilience and ESIA Scores'!F44)</f>
        <v>1.0000000000000001E-5</v>
      </c>
      <c r="G10" s="43" cm="1">
        <f t="array" ref="G10">MIN(IF(C10:F10&gt;0.00001,C10:F10))</f>
        <v>2</v>
      </c>
      <c r="H10" s="43" cm="1">
        <f t="array" ref="H10">MAX(IF(C10:F10&gt;0.00001,C10:F10))</f>
        <v>3</v>
      </c>
    </row>
    <row r="11" spans="2:9" x14ac:dyDescent="0.35">
      <c r="B11" s="106" t="s">
        <v>306</v>
      </c>
      <c r="C11" s="107">
        <f>IF(($C$15*($G$4*100/C4))+($C$16*($G$5*100/C5))+($C$17*(C6*100/$H$6))+($C$18*(C7*100/$H$7))+($C$19*($G$8*100/C8))+($C$20*(C9*100/$H$9))+($C$21*(C10*100/$H$10))&gt;100,"ERRROR",($C$15*($G$4*100/C4))+($C$16*($G$5*100/C5))+($C$17*(C6*100/$H$6))+($C$18*(C7*100/$H$7))+($C$19*($G$8*100/C8))+($C$20*(C9*100/$H$9))+($C$21*(C10*100/$H$10)))</f>
        <v>94.48067209206782</v>
      </c>
      <c r="D11" s="47">
        <f>IF(($C$15*($G$4*100/D4))+($C$16*($G$5*100/D5))+($C$17*(D6*100/$H$6))+($C$18*(D7*100/$H$7))+($C$19*($G$8*100/D8))+($C$20*(D9*100/$H$9))+($C$21*(D10*100/$H$10))&gt;100,"ERROR",($C$15*($G$4*100/D4))+($C$16*($G$5*100/D5))+($C$17*(D6*100/$H$6))+($C$18*(D7*100/$H$7))+($C$19*($G$8*100/D8))+($C$20*(D9*100/$H$9))+($C$21*(D10*100/$H$10)))</f>
        <v>84.166666666666671</v>
      </c>
      <c r="E11" s="47" t="str">
        <f>IF(($C$15*($G$4*100/E4))+($C$16*($G$5*100/E5))+($C$17*(E6*100/$H$6))+($C$18*(E7*100/$H$7))+($C$19*($G$8*100/E8))+($C$20*(E9*100/$H$9))+($C$21*(E10*100/$H$10))&gt;100,"ERROR",($C$15*($G$4*100/E4))+($C$16*($G$5*100/E5))+($C$17*(E6*100/$H$6))+($C$18*(E7*100/$H$7))+($C$19*($G$8*100/E8))+($C$20*(E9*100/$H$9))+($C$21*(E10*100/$H$10)))</f>
        <v>ERROR</v>
      </c>
      <c r="F11" s="47" t="str">
        <f>IF(($C$15*($G$4*100/F4))+($C$16*($G$5*100/F5))+($C$17*(F6*100/$H$6))+($C$18*(F7*100/$H$7))+($C$19*($G$8*100/F8))+($C$20*(F9*100/$H$9))+($C$21*(F10*100/$H$10))&gt;100,"ERROR",($C$15*($G$4*100/F4))+($C$16*($G$5*100/F5))+($C$17*(F6*100/$H$6))+($C$18*(F7*100/$H$7))+($C$19*($G$8*100/F8))+($C$20*(F9*100/$H$9))+($C$21*(F10*100/$H$10)))</f>
        <v>ERROR</v>
      </c>
      <c r="G11" s="1"/>
      <c r="H11" s="1"/>
    </row>
    <row r="12" spans="2:9" x14ac:dyDescent="0.35">
      <c r="B12" s="95"/>
    </row>
    <row r="13" spans="2:9" x14ac:dyDescent="0.35">
      <c r="B13" s="95"/>
    </row>
    <row r="14" spans="2:9" ht="29" x14ac:dyDescent="0.35">
      <c r="B14" s="105" t="s">
        <v>6</v>
      </c>
      <c r="C14" s="8" t="s">
        <v>0</v>
      </c>
    </row>
    <row r="15" spans="2:9" x14ac:dyDescent="0.35">
      <c r="B15" s="99" t="s">
        <v>176</v>
      </c>
      <c r="C15" s="85">
        <v>0.2</v>
      </c>
    </row>
    <row r="16" spans="2:9" x14ac:dyDescent="0.35">
      <c r="B16" s="99" t="s">
        <v>177</v>
      </c>
      <c r="C16" s="85">
        <v>0.15</v>
      </c>
    </row>
    <row r="17" spans="2:8" x14ac:dyDescent="0.35">
      <c r="B17" s="99" t="s">
        <v>175</v>
      </c>
      <c r="C17" s="85">
        <v>0.05</v>
      </c>
    </row>
    <row r="18" spans="2:8" x14ac:dyDescent="0.35">
      <c r="B18" s="99" t="s">
        <v>174</v>
      </c>
      <c r="C18" s="85">
        <v>0.1</v>
      </c>
    </row>
    <row r="19" spans="2:8" ht="16.5" x14ac:dyDescent="0.45">
      <c r="B19" s="99" t="s">
        <v>178</v>
      </c>
      <c r="C19" s="85">
        <v>0.1</v>
      </c>
    </row>
    <row r="20" spans="2:8" x14ac:dyDescent="0.35">
      <c r="B20" s="99" t="s">
        <v>179</v>
      </c>
      <c r="C20" s="85">
        <v>0.3</v>
      </c>
    </row>
    <row r="21" spans="2:8" x14ac:dyDescent="0.35">
      <c r="B21" s="99" t="s">
        <v>180</v>
      </c>
      <c r="C21" s="85">
        <v>0.1</v>
      </c>
    </row>
    <row r="22" spans="2:8" x14ac:dyDescent="0.35">
      <c r="B22" s="95"/>
      <c r="C22" s="48">
        <f>IF(SUM(C15:C21)=1, SUM(C15:C21), "Must equal to 1")</f>
        <v>0.99999999999999989</v>
      </c>
    </row>
    <row r="23" spans="2:8" x14ac:dyDescent="0.35">
      <c r="B23" s="95"/>
    </row>
    <row r="24" spans="2:8" x14ac:dyDescent="0.35">
      <c r="B24" s="99" t="s">
        <v>165</v>
      </c>
      <c r="C24" s="86">
        <v>16</v>
      </c>
    </row>
    <row r="25" spans="2:8" x14ac:dyDescent="0.35">
      <c r="B25" s="95"/>
    </row>
    <row r="26" spans="2:8" x14ac:dyDescent="0.35">
      <c r="B26" s="95"/>
    </row>
    <row r="27" spans="2:8" x14ac:dyDescent="0.35">
      <c r="B27" s="104" t="s">
        <v>281</v>
      </c>
    </row>
    <row r="28" spans="2:8" ht="29" x14ac:dyDescent="0.35">
      <c r="B28" s="105" t="s">
        <v>6</v>
      </c>
      <c r="C28" s="3" t="s">
        <v>1</v>
      </c>
      <c r="D28" s="3" t="s">
        <v>2</v>
      </c>
      <c r="E28" s="3" t="s">
        <v>3</v>
      </c>
      <c r="F28" s="3" t="s">
        <v>4</v>
      </c>
      <c r="G28" s="3" t="s">
        <v>7</v>
      </c>
      <c r="H28" s="3" t="s">
        <v>8</v>
      </c>
    </row>
    <row r="29" spans="2:8" x14ac:dyDescent="0.35">
      <c r="B29" s="99" t="s">
        <v>176</v>
      </c>
      <c r="C29" s="83"/>
      <c r="D29" s="83"/>
      <c r="E29" s="83"/>
      <c r="F29" s="83"/>
      <c r="G29" s="41" cm="1">
        <f t="array" ref="G29">MIN(IF(C29:F29&gt;0.00001,C29:F29))</f>
        <v>0</v>
      </c>
      <c r="H29" s="41" cm="1">
        <f t="array" ref="H29">MAX(IF(C29:F29&gt;0.00001,C29:F29))</f>
        <v>0</v>
      </c>
    </row>
    <row r="30" spans="2:8" x14ac:dyDescent="0.35">
      <c r="B30" s="99" t="s">
        <v>177</v>
      </c>
      <c r="C30" s="83"/>
      <c r="D30" s="83"/>
      <c r="E30" s="83"/>
      <c r="F30" s="83"/>
      <c r="G30" s="41" cm="1">
        <f t="array" ref="G30">MIN(IF(C30:F30&gt;0.00001,C30:F30))</f>
        <v>0</v>
      </c>
      <c r="H30" s="41" cm="1">
        <f t="array" ref="H30">MAX(IF(C30:F30&gt;0.00001,C30:F30))</f>
        <v>0</v>
      </c>
    </row>
    <row r="31" spans="2:8" x14ac:dyDescent="0.35">
      <c r="B31" s="99" t="s">
        <v>175</v>
      </c>
      <c r="C31" s="83"/>
      <c r="D31" s="83"/>
      <c r="E31" s="83"/>
      <c r="F31" s="83"/>
      <c r="G31" s="41" cm="1">
        <f t="array" ref="G31">MIN(IF(C31:F31&gt;0.00001,C31:F31))</f>
        <v>0</v>
      </c>
      <c r="H31" s="41" cm="1">
        <f t="array" ref="H31">MAX(IF(C31:F31&gt;0.00001,C31:F31))</f>
        <v>0</v>
      </c>
    </row>
    <row r="32" spans="2:8" x14ac:dyDescent="0.35">
      <c r="B32" s="99" t="s">
        <v>174</v>
      </c>
      <c r="C32" s="84"/>
      <c r="D32" s="84"/>
      <c r="E32" s="84"/>
      <c r="F32" s="84"/>
      <c r="G32" s="43" cm="1">
        <f t="array" ref="G32">MIN(IF(C32:F32&gt;0.00001,C32:F32))</f>
        <v>0</v>
      </c>
      <c r="H32" s="43" cm="1">
        <f t="array" ref="H32">MAX(IF(C32:F32&gt;0.00001,C32:F32))</f>
        <v>0</v>
      </c>
    </row>
    <row r="33" spans="2:8" ht="16.5" x14ac:dyDescent="0.45">
      <c r="B33" s="99" t="s">
        <v>253</v>
      </c>
      <c r="C33" s="87"/>
      <c r="D33" s="87"/>
      <c r="E33" s="87"/>
      <c r="F33" s="87"/>
      <c r="G33" s="109" cm="1">
        <f t="array" ref="G33">MIN(IF(C33:F33&gt;0.00001,C33:F33))</f>
        <v>0</v>
      </c>
      <c r="H33" s="109" cm="1">
        <f t="array" ref="H33">MAX(IF(C33:F33&gt;0.00001,C33:F33))</f>
        <v>0</v>
      </c>
    </row>
    <row r="34" spans="2:8" x14ac:dyDescent="0.35">
      <c r="B34" s="99" t="s">
        <v>179</v>
      </c>
      <c r="C34" s="84"/>
      <c r="D34" s="84"/>
      <c r="E34" s="84"/>
      <c r="F34" s="84"/>
      <c r="G34" s="43" cm="1">
        <f t="array" ref="G34">MIN(IF(C34:F34&gt;0.00001,C34:F34))</f>
        <v>0</v>
      </c>
      <c r="H34" s="43" cm="1">
        <f t="array" ref="H34">MAX(IF(C34:F34&gt;0.00001,C34:F34))</f>
        <v>0</v>
      </c>
    </row>
    <row r="35" spans="2:8" x14ac:dyDescent="0.35">
      <c r="B35" s="99" t="s">
        <v>180</v>
      </c>
      <c r="C35" s="84"/>
      <c r="D35" s="84"/>
      <c r="E35" s="84"/>
      <c r="F35" s="84"/>
      <c r="G35" s="43" cm="1">
        <f t="array" ref="G35">MIN(IF(C35:F35&gt;0.00001,C35:F35))</f>
        <v>0</v>
      </c>
      <c r="H35" s="43" cm="1">
        <f t="array" ref="H35">MAX(IF(C35:F35&gt;0.00001,C35:F35))</f>
        <v>0</v>
      </c>
    </row>
    <row r="36" spans="2:8" x14ac:dyDescent="0.35">
      <c r="B36" s="106" t="s">
        <v>306</v>
      </c>
      <c r="C36" s="107" t="e">
        <f>IF(($C$15*($G$29*100/C29))+($C$16*($G$30*100/C30))+($C$17*(C31*100/$H$31))+($C$18*(C32*100/$H$32))+($C$19*($G$33*100/C33))+($C$20*(C34*100/$H$34))+($C$21*(C35*100/$H$36))&gt;100,"ERRROR",($C$15*($G$29*100/C29))+($C$16*($G$30*100/C30))+($C$17*(C31*100/$H$31))+($C$18*(C32*100/$H$32))+($C$19*($G$33*100/C33))+($C$20*(C34*100/$H$34))+($C$21*(C35*100/$H$35)))</f>
        <v>#DIV/0!</v>
      </c>
      <c r="D36" s="47" t="e">
        <f>IF(($C$15*($G$29*100/D29))+($C$16*($G$30*100/D30))+($C$17*(D31*100/$H$31))+($C$18*(D32*100/$H$32))+($C$19*($G$33*100/D33))+($C$20*(D34*100/$H$34))+($C$21*(D35*100/$H$35))&gt;100,"ERROR",($C$15*($G$29*100/D29))+($C$16*($G$30*100/D30))+($C$17*(D31*100/$H$31))+($C$18*(D32*100/$H$32))+($C$19*($G$33*100/D33))+($C$20*(D34*100/$H$34))+($C$21*(D35*100/$H$35)))</f>
        <v>#DIV/0!</v>
      </c>
      <c r="E36" s="47" t="e">
        <f>IF(($C$15*($G$29*100/E29))+($C$16*($G$30*100/E30))+($C$17*(E31*100/$H$31))+($C$18*(E32*100/$H$32))+($C$19*($G$33*100/E33))+($C$20*(E34*100/$H$34))+($C$21*(E35*100/$H$35))&gt;100,"ERROR",($C$15*($G$29*100/E29))+($C$16*($G$30*100/E30))+($C$17*(E31*100/$H$31))+($C$18*(E32*100/$H$32))+($C$19*($G$33*100/E33))+($C$20*(E34*100/$H$34))+($C$21*(E35*100/$H$35)))</f>
        <v>#DIV/0!</v>
      </c>
      <c r="F36" s="47" t="e">
        <f>IF(($C$15*($G$29*100/F29))+($C$16*($G$30*100/F30))+($C$17*(F31*100/$H$31))+($C$18*(F32*100/$H$32))+($C$19*($G$33*100/F33))+($C$20*(F34*100/$H$34))+($C$21*(F35*100/$H$35))&gt;100,"ERROR",($C$15*($G$29*100/F29))+($C$16*($G$30*100/F30))+($C$17*(F31*100/$H$31))+($C$18*(F32*100/$H$32))+($C$19*($G$33*100/F33))+($C$20*(F34*100/$H$34))+($C$21*(F35*100/$H$35)))</f>
        <v>#DIV/0!</v>
      </c>
      <c r="G36" s="1"/>
      <c r="H36" s="1"/>
    </row>
  </sheetData>
  <sheetProtection algorithmName="SHA-512" hashValue="Yehd6O88D24yKNxfMNn94wy0okYOlByuodkiKZMgUOl/5GzMtjb9DBRGY9JLXLOS3aJoV95GdbBc3hY9hpxG0g==" saltValue="BaJl1sMwz+jYhAHIgkbKmw==" spinCount="100000" sheet="1" objects="1" scenarios="1" formatCells="0" formatColumns="0" formatRows="0" insertHyperlinks="0" sort="0" autoFilter="0"/>
  <phoneticPr fontId="2" type="noConversion"/>
  <conditionalFormatting sqref="C11:F11">
    <cfRule type="colorScale" priority="7">
      <colorScale>
        <cfvo type="num" val="0"/>
        <cfvo type="num" val="50"/>
        <cfvo type="num" val="100"/>
        <color rgb="FFF8696B"/>
        <color rgb="FFFFEB84"/>
        <color rgb="FF63BE7B"/>
      </colorScale>
    </cfRule>
    <cfRule type="colorScale" priority="8">
      <colorScale>
        <cfvo type="min"/>
        <cfvo type="percentile" val="50"/>
        <cfvo type="max"/>
        <color rgb="FF63BE7B"/>
        <color rgb="FFFFEB84"/>
        <color rgb="FFF8696B"/>
      </colorScale>
    </cfRule>
  </conditionalFormatting>
  <conditionalFormatting sqref="C36:F36">
    <cfRule type="colorScale" priority="1">
      <colorScale>
        <cfvo type="num" val="0"/>
        <cfvo type="num" val="50"/>
        <cfvo type="num" val="100"/>
        <color rgb="FFF8696B"/>
        <color rgb="FFFFEB84"/>
        <color rgb="FF63BE7B"/>
      </colorScale>
    </cfRule>
    <cfRule type="colorScale" priority="2">
      <colorScale>
        <cfvo type="min"/>
        <cfvo type="percentile" val="50"/>
        <cfvo type="max"/>
        <color rgb="FF63BE7B"/>
        <color rgb="FFFFEB84"/>
        <color rgb="FFF8696B"/>
      </colorScale>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AB96F-2D11-444F-90AF-DAEE39879700}">
  <sheetPr>
    <tabColor theme="7"/>
  </sheetPr>
  <dimension ref="C1:H79"/>
  <sheetViews>
    <sheetView topLeftCell="A3" workbookViewId="0">
      <selection activeCell="F4" sqref="F4"/>
    </sheetView>
  </sheetViews>
  <sheetFormatPr defaultRowHeight="14.5" x14ac:dyDescent="0.35"/>
  <cols>
    <col min="3" max="3" width="30.26953125" customWidth="1"/>
    <col min="4" max="4" width="43.54296875" customWidth="1"/>
    <col min="5" max="5" width="9.08984375" customWidth="1"/>
    <col min="6" max="6" width="11.36328125" customWidth="1"/>
  </cols>
  <sheetData>
    <row r="1" spans="3:8" hidden="1" x14ac:dyDescent="0.35"/>
    <row r="2" spans="3:8" hidden="1" x14ac:dyDescent="0.35"/>
    <row r="4" spans="3:8" ht="29" x14ac:dyDescent="0.35">
      <c r="C4" s="6" t="s">
        <v>69</v>
      </c>
      <c r="D4" s="6" t="s">
        <v>47</v>
      </c>
      <c r="E4" s="10" t="s">
        <v>82</v>
      </c>
      <c r="F4" s="102" t="s">
        <v>183</v>
      </c>
      <c r="H4" s="2"/>
    </row>
    <row r="5" spans="3:8" x14ac:dyDescent="0.35">
      <c r="C5" s="49" t="s">
        <v>125</v>
      </c>
      <c r="D5" s="49" t="s">
        <v>125</v>
      </c>
      <c r="E5" s="42" t="s">
        <v>139</v>
      </c>
      <c r="F5" s="103">
        <v>2500</v>
      </c>
      <c r="H5" s="18"/>
    </row>
    <row r="6" spans="3:8" ht="16.5" x14ac:dyDescent="0.35">
      <c r="C6" s="49" t="s">
        <v>68</v>
      </c>
      <c r="D6" s="49" t="s">
        <v>205</v>
      </c>
      <c r="E6" s="42" t="s">
        <v>138</v>
      </c>
      <c r="F6" s="99">
        <v>4.8600000000000003</v>
      </c>
    </row>
    <row r="7" spans="3:8" ht="16.5" x14ac:dyDescent="0.35">
      <c r="C7" s="49" t="s">
        <v>204</v>
      </c>
      <c r="D7" s="49" t="s">
        <v>206</v>
      </c>
      <c r="E7" s="42" t="s">
        <v>138</v>
      </c>
      <c r="F7" s="99">
        <v>3.5</v>
      </c>
    </row>
    <row r="8" spans="3:8" x14ac:dyDescent="0.35">
      <c r="C8" s="49" t="s">
        <v>140</v>
      </c>
      <c r="D8" s="49" t="s">
        <v>140</v>
      </c>
      <c r="E8" s="42" t="s">
        <v>141</v>
      </c>
      <c r="F8" s="99">
        <v>14</v>
      </c>
    </row>
    <row r="9" spans="3:8" x14ac:dyDescent="0.35">
      <c r="C9" s="49"/>
      <c r="D9" s="49"/>
      <c r="E9" s="42"/>
      <c r="F9" s="99"/>
    </row>
    <row r="10" spans="3:8" x14ac:dyDescent="0.35">
      <c r="C10" s="46" t="s">
        <v>31</v>
      </c>
      <c r="D10" s="46" t="s">
        <v>47</v>
      </c>
      <c r="E10" s="50"/>
      <c r="F10" s="99"/>
    </row>
    <row r="11" spans="3:8" ht="16.5" x14ac:dyDescent="0.35">
      <c r="C11" s="49" t="s">
        <v>32</v>
      </c>
      <c r="D11" s="49" t="s">
        <v>48</v>
      </c>
      <c r="E11" s="42" t="s">
        <v>138</v>
      </c>
      <c r="F11" s="99">
        <v>5</v>
      </c>
    </row>
    <row r="12" spans="3:8" ht="16.5" x14ac:dyDescent="0.35">
      <c r="C12" s="49" t="s">
        <v>120</v>
      </c>
      <c r="D12" s="49" t="s">
        <v>49</v>
      </c>
      <c r="E12" s="42" t="s">
        <v>138</v>
      </c>
      <c r="F12" s="99">
        <v>7</v>
      </c>
    </row>
    <row r="13" spans="3:8" ht="16.5" x14ac:dyDescent="0.35">
      <c r="C13" s="49" t="s">
        <v>118</v>
      </c>
      <c r="D13" s="49" t="s">
        <v>50</v>
      </c>
      <c r="E13" s="42" t="s">
        <v>138</v>
      </c>
      <c r="F13" s="99">
        <v>7</v>
      </c>
    </row>
    <row r="14" spans="3:8" x14ac:dyDescent="0.35">
      <c r="C14" s="49"/>
      <c r="D14" s="49"/>
      <c r="E14" s="42"/>
      <c r="F14" s="99"/>
    </row>
    <row r="15" spans="3:8" x14ac:dyDescent="0.35">
      <c r="C15" s="46" t="s">
        <v>117</v>
      </c>
      <c r="D15" s="46" t="s">
        <v>47</v>
      </c>
      <c r="E15" s="50"/>
      <c r="F15" s="99"/>
    </row>
    <row r="16" spans="3:8" ht="16.5" x14ac:dyDescent="0.35">
      <c r="C16" s="49" t="s">
        <v>118</v>
      </c>
      <c r="D16" s="49" t="s">
        <v>50</v>
      </c>
      <c r="E16" s="42" t="s">
        <v>138</v>
      </c>
      <c r="F16" s="99">
        <v>7</v>
      </c>
    </row>
    <row r="17" spans="3:6" ht="16.5" x14ac:dyDescent="0.35">
      <c r="C17" s="49" t="s">
        <v>119</v>
      </c>
      <c r="D17" s="49" t="s">
        <v>51</v>
      </c>
      <c r="E17" s="42" t="s">
        <v>138</v>
      </c>
      <c r="F17" s="99">
        <v>8</v>
      </c>
    </row>
    <row r="18" spans="3:6" ht="16.5" x14ac:dyDescent="0.35">
      <c r="C18" s="49" t="s">
        <v>121</v>
      </c>
      <c r="D18" s="49" t="s">
        <v>123</v>
      </c>
      <c r="E18" s="42" t="s">
        <v>138</v>
      </c>
      <c r="F18" s="99">
        <v>8</v>
      </c>
    </row>
    <row r="19" spans="3:6" ht="16.5" x14ac:dyDescent="0.35">
      <c r="C19" s="49" t="s">
        <v>122</v>
      </c>
      <c r="D19" s="49" t="s">
        <v>124</v>
      </c>
      <c r="E19" s="42" t="s">
        <v>138</v>
      </c>
      <c r="F19" s="99">
        <v>9</v>
      </c>
    </row>
    <row r="20" spans="3:6" ht="16.5" x14ac:dyDescent="0.35">
      <c r="C20" s="49" t="s">
        <v>33</v>
      </c>
      <c r="D20" s="49" t="s">
        <v>52</v>
      </c>
      <c r="E20" s="42" t="s">
        <v>138</v>
      </c>
      <c r="F20" s="99">
        <v>10</v>
      </c>
    </row>
    <row r="21" spans="3:6" ht="16.5" x14ac:dyDescent="0.35">
      <c r="C21" s="49" t="s">
        <v>308</v>
      </c>
      <c r="D21" s="49" t="s">
        <v>52</v>
      </c>
      <c r="E21" s="42" t="s">
        <v>138</v>
      </c>
      <c r="F21" s="99">
        <v>9</v>
      </c>
    </row>
    <row r="22" spans="3:6" ht="16.5" x14ac:dyDescent="0.35">
      <c r="C22" s="49" t="s">
        <v>92</v>
      </c>
      <c r="D22" s="49" t="s">
        <v>52</v>
      </c>
      <c r="E22" s="42" t="s">
        <v>138</v>
      </c>
      <c r="F22" s="99">
        <v>8</v>
      </c>
    </row>
    <row r="23" spans="3:6" ht="16.5" x14ac:dyDescent="0.35">
      <c r="C23" s="49" t="s">
        <v>41</v>
      </c>
      <c r="D23" s="49" t="s">
        <v>53</v>
      </c>
      <c r="E23" s="42" t="s">
        <v>138</v>
      </c>
      <c r="F23" s="99">
        <v>11</v>
      </c>
    </row>
    <row r="24" spans="3:6" ht="16.5" x14ac:dyDescent="0.35">
      <c r="C24" s="49" t="s">
        <v>309</v>
      </c>
      <c r="D24" s="49" t="s">
        <v>53</v>
      </c>
      <c r="E24" s="42" t="s">
        <v>138</v>
      </c>
      <c r="F24" s="99">
        <v>10</v>
      </c>
    </row>
    <row r="25" spans="3:6" ht="16.5" x14ac:dyDescent="0.35">
      <c r="C25" s="49" t="s">
        <v>91</v>
      </c>
      <c r="D25" s="49" t="s">
        <v>53</v>
      </c>
      <c r="E25" s="42" t="s">
        <v>138</v>
      </c>
      <c r="F25" s="99">
        <v>9</v>
      </c>
    </row>
    <row r="26" spans="3:6" ht="16.5" x14ac:dyDescent="0.35">
      <c r="C26" s="49" t="s">
        <v>40</v>
      </c>
      <c r="D26" s="49" t="s">
        <v>54</v>
      </c>
      <c r="E26" s="42" t="s">
        <v>138</v>
      </c>
      <c r="F26" s="99">
        <v>13</v>
      </c>
    </row>
    <row r="27" spans="3:6" ht="16.5" x14ac:dyDescent="0.35">
      <c r="C27" s="49" t="s">
        <v>310</v>
      </c>
      <c r="D27" s="49" t="s">
        <v>54</v>
      </c>
      <c r="E27" s="42" t="s">
        <v>138</v>
      </c>
      <c r="F27" s="99">
        <v>12</v>
      </c>
    </row>
    <row r="28" spans="3:6" ht="16.5" x14ac:dyDescent="0.35">
      <c r="C28" s="49" t="s">
        <v>90</v>
      </c>
      <c r="D28" s="49" t="s">
        <v>54</v>
      </c>
      <c r="E28" s="42" t="s">
        <v>138</v>
      </c>
      <c r="F28" s="99">
        <v>11</v>
      </c>
    </row>
    <row r="29" spans="3:6" ht="16.5" x14ac:dyDescent="0.35">
      <c r="C29" s="49" t="s">
        <v>303</v>
      </c>
      <c r="D29" s="49" t="s">
        <v>301</v>
      </c>
      <c r="E29" s="42" t="s">
        <v>138</v>
      </c>
      <c r="F29" s="99">
        <v>17</v>
      </c>
    </row>
    <row r="30" spans="3:6" ht="16.5" x14ac:dyDescent="0.35">
      <c r="C30" s="49" t="s">
        <v>311</v>
      </c>
      <c r="D30" s="49" t="s">
        <v>300</v>
      </c>
      <c r="E30" s="42" t="s">
        <v>138</v>
      </c>
      <c r="F30" s="99">
        <v>16</v>
      </c>
    </row>
    <row r="31" spans="3:6" ht="16.5" x14ac:dyDescent="0.35">
      <c r="C31" s="49" t="s">
        <v>304</v>
      </c>
      <c r="D31" s="49" t="s">
        <v>302</v>
      </c>
      <c r="E31" s="42" t="s">
        <v>138</v>
      </c>
      <c r="F31" s="99">
        <v>15</v>
      </c>
    </row>
    <row r="32" spans="3:6" ht="16.5" x14ac:dyDescent="0.35">
      <c r="C32" s="49" t="s">
        <v>34</v>
      </c>
      <c r="D32" s="49" t="s">
        <v>55</v>
      </c>
      <c r="E32" s="42" t="s">
        <v>138</v>
      </c>
      <c r="F32" s="99">
        <v>38</v>
      </c>
    </row>
    <row r="33" spans="3:6" ht="16.5" x14ac:dyDescent="0.35">
      <c r="C33" s="49" t="s">
        <v>35</v>
      </c>
      <c r="D33" s="49" t="s">
        <v>56</v>
      </c>
      <c r="E33" s="42" t="s">
        <v>138</v>
      </c>
      <c r="F33" s="99">
        <v>36</v>
      </c>
    </row>
    <row r="34" spans="3:6" ht="16.5" x14ac:dyDescent="0.35">
      <c r="C34" s="49" t="s">
        <v>36</v>
      </c>
      <c r="D34" s="49" t="s">
        <v>57</v>
      </c>
      <c r="E34" s="42" t="s">
        <v>138</v>
      </c>
      <c r="F34" s="99">
        <v>34</v>
      </c>
    </row>
    <row r="35" spans="3:6" ht="16.5" x14ac:dyDescent="0.35">
      <c r="C35" s="49" t="s">
        <v>37</v>
      </c>
      <c r="D35" s="49" t="s">
        <v>58</v>
      </c>
      <c r="E35" s="42" t="s">
        <v>138</v>
      </c>
      <c r="F35" s="99">
        <v>40</v>
      </c>
    </row>
    <row r="36" spans="3:6" ht="16.5" x14ac:dyDescent="0.35">
      <c r="C36" s="49" t="s">
        <v>38</v>
      </c>
      <c r="D36" s="49" t="s">
        <v>59</v>
      </c>
      <c r="E36" s="42" t="s">
        <v>138</v>
      </c>
      <c r="F36" s="99">
        <v>38</v>
      </c>
    </row>
    <row r="37" spans="3:6" ht="16.5" x14ac:dyDescent="0.35">
      <c r="C37" s="49" t="s">
        <v>39</v>
      </c>
      <c r="D37" s="49" t="s">
        <v>60</v>
      </c>
      <c r="E37" s="42" t="s">
        <v>138</v>
      </c>
      <c r="F37" s="99">
        <v>30</v>
      </c>
    </row>
    <row r="38" spans="3:6" x14ac:dyDescent="0.35">
      <c r="C38" s="49"/>
      <c r="D38" s="49"/>
      <c r="E38" s="42"/>
      <c r="F38" s="99"/>
    </row>
    <row r="39" spans="3:6" x14ac:dyDescent="0.35">
      <c r="C39" s="46" t="s">
        <v>130</v>
      </c>
      <c r="D39" s="46" t="s">
        <v>47</v>
      </c>
      <c r="E39" s="50"/>
      <c r="F39" s="99"/>
    </row>
    <row r="40" spans="3:6" ht="16.5" x14ac:dyDescent="0.35">
      <c r="C40" s="49" t="s">
        <v>146</v>
      </c>
      <c r="D40" s="49" t="s">
        <v>144</v>
      </c>
      <c r="E40" s="42" t="s">
        <v>148</v>
      </c>
      <c r="F40" s="99">
        <v>4</v>
      </c>
    </row>
    <row r="41" spans="3:6" ht="16.5" x14ac:dyDescent="0.35">
      <c r="C41" s="49" t="s">
        <v>147</v>
      </c>
      <c r="D41" s="49" t="s">
        <v>145</v>
      </c>
      <c r="E41" s="42" t="s">
        <v>148</v>
      </c>
      <c r="F41" s="99">
        <v>3.2</v>
      </c>
    </row>
    <row r="42" spans="3:6" ht="16.5" x14ac:dyDescent="0.35">
      <c r="C42" s="49" t="s">
        <v>142</v>
      </c>
      <c r="D42" s="49" t="s">
        <v>61</v>
      </c>
      <c r="E42" s="42" t="s">
        <v>148</v>
      </c>
      <c r="F42" s="99">
        <v>7</v>
      </c>
    </row>
    <row r="43" spans="3:6" ht="16.5" x14ac:dyDescent="0.35">
      <c r="C43" s="49" t="s">
        <v>143</v>
      </c>
      <c r="D43" s="49" t="s">
        <v>89</v>
      </c>
      <c r="E43" s="42" t="s">
        <v>148</v>
      </c>
      <c r="F43" s="99">
        <v>5.5</v>
      </c>
    </row>
    <row r="44" spans="3:6" ht="16.5" x14ac:dyDescent="0.35">
      <c r="C44" s="49" t="s">
        <v>42</v>
      </c>
      <c r="D44" s="49" t="s">
        <v>62</v>
      </c>
      <c r="E44" s="42" t="s">
        <v>138</v>
      </c>
      <c r="F44" s="99">
        <v>200</v>
      </c>
    </row>
    <row r="45" spans="3:6" ht="16.5" x14ac:dyDescent="0.35">
      <c r="C45" s="49" t="s">
        <v>43</v>
      </c>
      <c r="D45" s="49" t="s">
        <v>63</v>
      </c>
      <c r="E45" s="42" t="s">
        <v>138</v>
      </c>
      <c r="F45" s="99">
        <v>190</v>
      </c>
    </row>
    <row r="46" spans="3:6" ht="16.5" x14ac:dyDescent="0.35">
      <c r="C46" s="49" t="s">
        <v>44</v>
      </c>
      <c r="D46" s="49" t="s">
        <v>64</v>
      </c>
      <c r="E46" s="42" t="s">
        <v>138</v>
      </c>
      <c r="F46" s="99">
        <v>180</v>
      </c>
    </row>
    <row r="47" spans="3:6" ht="16.5" x14ac:dyDescent="0.35">
      <c r="C47" s="49" t="s">
        <v>45</v>
      </c>
      <c r="D47" s="49" t="s">
        <v>65</v>
      </c>
      <c r="E47" s="42" t="s">
        <v>138</v>
      </c>
      <c r="F47" s="99">
        <v>220</v>
      </c>
    </row>
    <row r="48" spans="3:6" ht="16.5" x14ac:dyDescent="0.35">
      <c r="C48" s="49" t="s">
        <v>46</v>
      </c>
      <c r="D48" s="49" t="s">
        <v>66</v>
      </c>
      <c r="E48" s="42" t="s">
        <v>138</v>
      </c>
      <c r="F48" s="99">
        <v>250</v>
      </c>
    </row>
    <row r="49" spans="3:6" x14ac:dyDescent="0.35">
      <c r="C49" s="49" t="s">
        <v>190</v>
      </c>
      <c r="D49" s="49" t="s">
        <v>197</v>
      </c>
      <c r="E49" s="42" t="s">
        <v>196</v>
      </c>
      <c r="F49" s="99">
        <v>1.75</v>
      </c>
    </row>
    <row r="50" spans="3:6" x14ac:dyDescent="0.35">
      <c r="C50" s="49" t="s">
        <v>191</v>
      </c>
      <c r="D50" s="49" t="s">
        <v>198</v>
      </c>
      <c r="E50" s="42" t="s">
        <v>196</v>
      </c>
      <c r="F50" s="99">
        <v>1.5</v>
      </c>
    </row>
    <row r="51" spans="3:6" x14ac:dyDescent="0.35">
      <c r="C51" s="49" t="s">
        <v>193</v>
      </c>
      <c r="D51" s="49" t="s">
        <v>199</v>
      </c>
      <c r="E51" s="42" t="s">
        <v>196</v>
      </c>
      <c r="F51" s="99">
        <v>1.95</v>
      </c>
    </row>
    <row r="52" spans="3:6" x14ac:dyDescent="0.35">
      <c r="C52" s="49" t="s">
        <v>194</v>
      </c>
      <c r="D52" s="49" t="s">
        <v>200</v>
      </c>
      <c r="E52" s="42" t="s">
        <v>196</v>
      </c>
      <c r="F52" s="99">
        <v>1.7</v>
      </c>
    </row>
    <row r="53" spans="3:6" x14ac:dyDescent="0.35">
      <c r="C53" s="49" t="s">
        <v>189</v>
      </c>
      <c r="D53" s="49" t="s">
        <v>201</v>
      </c>
      <c r="E53" s="42" t="s">
        <v>196</v>
      </c>
      <c r="F53" s="99">
        <v>1.26</v>
      </c>
    </row>
    <row r="54" spans="3:6" x14ac:dyDescent="0.35">
      <c r="C54" s="49" t="s">
        <v>195</v>
      </c>
      <c r="D54" s="49" t="s">
        <v>202</v>
      </c>
      <c r="E54" s="42" t="s">
        <v>196</v>
      </c>
      <c r="F54" s="99">
        <v>1.26</v>
      </c>
    </row>
    <row r="55" spans="3:6" x14ac:dyDescent="0.35">
      <c r="C55" s="51"/>
      <c r="D55" s="51"/>
      <c r="E55" s="52"/>
      <c r="F55" s="95"/>
    </row>
    <row r="56" spans="3:6" x14ac:dyDescent="0.35">
      <c r="C56" s="53" t="s">
        <v>115</v>
      </c>
      <c r="D56" s="51"/>
      <c r="E56" s="52"/>
      <c r="F56" s="95"/>
    </row>
    <row r="57" spans="3:6" ht="29" x14ac:dyDescent="0.35">
      <c r="C57" s="46" t="s">
        <v>116</v>
      </c>
      <c r="D57" s="46" t="s">
        <v>47</v>
      </c>
      <c r="E57" s="54" t="s">
        <v>82</v>
      </c>
      <c r="F57" s="102" t="s">
        <v>183</v>
      </c>
    </row>
    <row r="58" spans="3:6" ht="16.5" x14ac:dyDescent="0.35">
      <c r="C58" s="49" t="s">
        <v>76</v>
      </c>
      <c r="D58" s="49" t="s">
        <v>83</v>
      </c>
      <c r="E58" s="42" t="s">
        <v>138</v>
      </c>
      <c r="F58" s="96">
        <v>125</v>
      </c>
    </row>
    <row r="59" spans="3:6" ht="16.5" x14ac:dyDescent="0.35">
      <c r="C59" s="49" t="s">
        <v>77</v>
      </c>
      <c r="D59" s="49" t="s">
        <v>84</v>
      </c>
      <c r="E59" s="42" t="s">
        <v>138</v>
      </c>
      <c r="F59" s="96">
        <v>140</v>
      </c>
    </row>
    <row r="60" spans="3:6" ht="16.5" x14ac:dyDescent="0.35">
      <c r="C60" s="49" t="s">
        <v>78</v>
      </c>
      <c r="D60" s="49" t="s">
        <v>85</v>
      </c>
      <c r="E60" s="42" t="s">
        <v>138</v>
      </c>
      <c r="F60" s="96">
        <v>145</v>
      </c>
    </row>
    <row r="61" spans="3:6" ht="16.5" x14ac:dyDescent="0.35">
      <c r="C61" s="49" t="s">
        <v>79</v>
      </c>
      <c r="D61" s="49" t="s">
        <v>86</v>
      </c>
      <c r="E61" s="42" t="s">
        <v>138</v>
      </c>
      <c r="F61" s="96">
        <v>150</v>
      </c>
    </row>
    <row r="62" spans="3:6" ht="16.5" x14ac:dyDescent="0.35">
      <c r="C62" s="49" t="s">
        <v>80</v>
      </c>
      <c r="D62" s="49" t="s">
        <v>87</v>
      </c>
      <c r="E62" s="42" t="s">
        <v>138</v>
      </c>
      <c r="F62" s="96">
        <v>160</v>
      </c>
    </row>
    <row r="63" spans="3:6" ht="16.5" x14ac:dyDescent="0.35">
      <c r="C63" s="49" t="s">
        <v>81</v>
      </c>
      <c r="D63" s="49" t="s">
        <v>88</v>
      </c>
      <c r="E63" s="42" t="s">
        <v>138</v>
      </c>
      <c r="F63" s="96">
        <v>170</v>
      </c>
    </row>
    <row r="64" spans="3:6" x14ac:dyDescent="0.35">
      <c r="C64" s="49"/>
      <c r="D64" s="49"/>
      <c r="E64" s="42"/>
      <c r="F64" s="97"/>
    </row>
    <row r="65" spans="3:6" ht="16.5" x14ac:dyDescent="0.35">
      <c r="C65" s="49" t="s">
        <v>312</v>
      </c>
      <c r="D65" s="49" t="s">
        <v>318</v>
      </c>
      <c r="E65" s="42" t="s">
        <v>138</v>
      </c>
      <c r="F65" s="96">
        <v>120</v>
      </c>
    </row>
    <row r="66" spans="3:6" ht="16.5" x14ac:dyDescent="0.35">
      <c r="C66" s="49" t="s">
        <v>313</v>
      </c>
      <c r="D66" s="49" t="s">
        <v>319</v>
      </c>
      <c r="E66" s="42" t="s">
        <v>138</v>
      </c>
      <c r="F66" s="96">
        <v>135</v>
      </c>
    </row>
    <row r="67" spans="3:6" ht="16.5" x14ac:dyDescent="0.35">
      <c r="C67" s="49" t="s">
        <v>314</v>
      </c>
      <c r="D67" s="49" t="s">
        <v>320</v>
      </c>
      <c r="E67" s="42" t="s">
        <v>138</v>
      </c>
      <c r="F67" s="96">
        <v>140</v>
      </c>
    </row>
    <row r="68" spans="3:6" ht="16.5" x14ac:dyDescent="0.35">
      <c r="C68" s="49" t="s">
        <v>315</v>
      </c>
      <c r="D68" s="49" t="s">
        <v>321</v>
      </c>
      <c r="E68" s="42" t="s">
        <v>138</v>
      </c>
      <c r="F68" s="96">
        <v>145</v>
      </c>
    </row>
    <row r="69" spans="3:6" ht="16.5" x14ac:dyDescent="0.35">
      <c r="C69" s="49" t="s">
        <v>316</v>
      </c>
      <c r="D69" s="49" t="s">
        <v>322</v>
      </c>
      <c r="E69" s="42" t="s">
        <v>138</v>
      </c>
      <c r="F69" s="96">
        <v>155</v>
      </c>
    </row>
    <row r="70" spans="3:6" ht="16.5" x14ac:dyDescent="0.35">
      <c r="C70" s="49" t="s">
        <v>317</v>
      </c>
      <c r="D70" s="49" t="s">
        <v>323</v>
      </c>
      <c r="E70" s="42" t="s">
        <v>138</v>
      </c>
      <c r="F70" s="96">
        <v>165</v>
      </c>
    </row>
    <row r="71" spans="3:6" x14ac:dyDescent="0.35">
      <c r="C71" s="49"/>
      <c r="D71" s="49"/>
      <c r="E71" s="42"/>
      <c r="F71" s="97"/>
    </row>
    <row r="72" spans="3:6" ht="16.5" x14ac:dyDescent="0.35">
      <c r="C72" s="49" t="s">
        <v>70</v>
      </c>
      <c r="D72" s="49" t="s">
        <v>93</v>
      </c>
      <c r="E72" s="42" t="s">
        <v>138</v>
      </c>
      <c r="F72" s="96">
        <v>115</v>
      </c>
    </row>
    <row r="73" spans="3:6" ht="16.5" x14ac:dyDescent="0.35">
      <c r="C73" s="49" t="s">
        <v>71</v>
      </c>
      <c r="D73" s="49" t="s">
        <v>94</v>
      </c>
      <c r="E73" s="42" t="s">
        <v>138</v>
      </c>
      <c r="F73" s="96">
        <v>130</v>
      </c>
    </row>
    <row r="74" spans="3:6" ht="16.5" x14ac:dyDescent="0.35">
      <c r="C74" s="49" t="s">
        <v>72</v>
      </c>
      <c r="D74" s="49" t="s">
        <v>95</v>
      </c>
      <c r="E74" s="42" t="s">
        <v>138</v>
      </c>
      <c r="F74" s="96">
        <v>135</v>
      </c>
    </row>
    <row r="75" spans="3:6" ht="16.5" x14ac:dyDescent="0.35">
      <c r="C75" s="49" t="s">
        <v>73</v>
      </c>
      <c r="D75" s="49" t="s">
        <v>96</v>
      </c>
      <c r="E75" s="42" t="s">
        <v>138</v>
      </c>
      <c r="F75" s="96">
        <v>140</v>
      </c>
    </row>
    <row r="76" spans="3:6" ht="16.5" x14ac:dyDescent="0.35">
      <c r="C76" s="49" t="s">
        <v>74</v>
      </c>
      <c r="D76" s="49" t="s">
        <v>97</v>
      </c>
      <c r="E76" s="42" t="s">
        <v>138</v>
      </c>
      <c r="F76" s="96">
        <v>150</v>
      </c>
    </row>
    <row r="77" spans="3:6" ht="16.5" x14ac:dyDescent="0.35">
      <c r="C77" s="49" t="s">
        <v>75</v>
      </c>
      <c r="D77" s="49" t="s">
        <v>98</v>
      </c>
      <c r="E77" s="42" t="s">
        <v>138</v>
      </c>
      <c r="F77" s="96">
        <v>160</v>
      </c>
    </row>
    <row r="78" spans="3:6" x14ac:dyDescent="0.35">
      <c r="C78" s="51"/>
      <c r="D78" s="51"/>
      <c r="E78" s="51"/>
      <c r="F78" s="95"/>
    </row>
    <row r="79" spans="3:6" x14ac:dyDescent="0.35">
      <c r="C79" s="49" t="s">
        <v>203</v>
      </c>
      <c r="D79" s="49" t="s">
        <v>192</v>
      </c>
      <c r="E79" s="42" t="s">
        <v>141</v>
      </c>
      <c r="F79" s="99">
        <v>1400</v>
      </c>
    </row>
  </sheetData>
  <sheetProtection algorithmName="SHA-512" hashValue="Ktqxe4OzJYhgQSfdRDr2xWkTVtsHaCh1L85wspsbZMqTbgSBgsHMpfbNg8C24DfpvXKwWsH3VrYge2SpO4nXow==" saltValue="Xb8DbJcBwhhpPMPj//FwFw==" spinCount="100000" sheet="1" objects="1" scenarios="1" formatCells="0" formatColumns="0" formatRows="0" insertHyperlinks="0" sort="0" autoFilter="0"/>
  <phoneticPr fontId="2"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0AB73-1C02-4097-AC46-5F83A5D06617}">
  <sheetPr>
    <tabColor theme="5" tint="-0.249977111117893"/>
  </sheetPr>
  <dimension ref="C2:R256"/>
  <sheetViews>
    <sheetView workbookViewId="0">
      <selection activeCell="M64" sqref="M64"/>
    </sheetView>
  </sheetViews>
  <sheetFormatPr defaultRowHeight="14.5" x14ac:dyDescent="0.35"/>
  <cols>
    <col min="2" max="2" width="15.08984375" customWidth="1"/>
    <col min="3" max="3" width="9.08984375" customWidth="1"/>
    <col min="4" max="4" width="7.54296875" customWidth="1"/>
    <col min="5" max="5" width="7" customWidth="1"/>
    <col min="6" max="6" width="26.6328125" customWidth="1"/>
    <col min="7" max="7" width="15.54296875" customWidth="1"/>
    <col min="8" max="8" width="10.81640625" customWidth="1"/>
    <col min="9" max="9" width="8.90625" customWidth="1"/>
    <col min="10" max="10" width="8.7265625" customWidth="1"/>
    <col min="11" max="11" width="10.36328125" customWidth="1"/>
    <col min="12" max="12" width="12.1796875" customWidth="1"/>
    <col min="13" max="13" width="17.1796875" customWidth="1"/>
    <col min="14" max="14" width="46.453125" customWidth="1"/>
    <col min="17" max="17" width="26.08984375" customWidth="1"/>
  </cols>
  <sheetData>
    <row r="2" spans="3:18" x14ac:dyDescent="0.35">
      <c r="C2" s="11" t="s">
        <v>126</v>
      </c>
    </row>
    <row r="3" spans="3:18" ht="49.5" customHeight="1" x14ac:dyDescent="0.35">
      <c r="C3" s="6" t="s">
        <v>109</v>
      </c>
      <c r="D3" s="10" t="s">
        <v>114</v>
      </c>
      <c r="E3" s="10" t="s">
        <v>108</v>
      </c>
      <c r="F3" s="6" t="s">
        <v>13</v>
      </c>
      <c r="G3" s="6" t="s">
        <v>69</v>
      </c>
      <c r="H3" s="10" t="s">
        <v>107</v>
      </c>
      <c r="I3" s="10" t="s">
        <v>110</v>
      </c>
      <c r="J3" s="10" t="s">
        <v>113</v>
      </c>
      <c r="K3" s="10" t="s">
        <v>249</v>
      </c>
      <c r="L3" s="102" t="s">
        <v>250</v>
      </c>
      <c r="M3" s="102" t="s">
        <v>251</v>
      </c>
      <c r="N3" s="18"/>
      <c r="O3" s="22"/>
      <c r="Q3" s="18"/>
      <c r="R3" s="22"/>
    </row>
    <row r="4" spans="3:18" ht="14.5" customHeight="1" x14ac:dyDescent="0.35">
      <c r="C4" s="144">
        <v>1</v>
      </c>
      <c r="D4" s="144">
        <v>6.5</v>
      </c>
      <c r="E4" s="144">
        <v>10</v>
      </c>
      <c r="F4" s="1" t="s">
        <v>159</v>
      </c>
      <c r="G4" s="98"/>
      <c r="H4" s="99"/>
      <c r="I4" s="78"/>
      <c r="J4" s="79"/>
      <c r="K4" s="80"/>
      <c r="L4" s="41">
        <f>('Materials Unit Costs'!$F$5*'Pavement Options'!I4)/1000000</f>
        <v>0</v>
      </c>
      <c r="M4" s="141">
        <f>SUM(L4:L23)</f>
        <v>2.5851799999999994</v>
      </c>
    </row>
    <row r="5" spans="3:18" ht="14.5" customHeight="1" x14ac:dyDescent="0.35">
      <c r="C5" s="145"/>
      <c r="D5" s="145"/>
      <c r="E5" s="145"/>
      <c r="F5" s="1" t="s">
        <v>68</v>
      </c>
      <c r="G5" s="98"/>
      <c r="H5" s="99">
        <v>200</v>
      </c>
      <c r="I5" s="78">
        <f>$D$4*$E$4*H5</f>
        <v>13000</v>
      </c>
      <c r="J5" s="79"/>
      <c r="K5" s="81">
        <v>2100</v>
      </c>
      <c r="L5" s="41">
        <f>('Materials Unit Costs'!$F$6*'Pavement Options'!I5)/1000000</f>
        <v>6.3180000000000014E-2</v>
      </c>
      <c r="M5" s="142"/>
    </row>
    <row r="6" spans="3:18" ht="14.5" customHeight="1" x14ac:dyDescent="0.35">
      <c r="C6" s="145"/>
      <c r="D6" s="145"/>
      <c r="E6" s="145"/>
      <c r="F6" s="1" t="s">
        <v>204</v>
      </c>
      <c r="G6" s="98"/>
      <c r="H6" s="99">
        <v>300</v>
      </c>
      <c r="I6" s="78">
        <f>$D$4*$E$4*H6</f>
        <v>19500</v>
      </c>
      <c r="J6" s="78">
        <f>I6*K6/1000</f>
        <v>40950</v>
      </c>
      <c r="K6" s="81">
        <v>2100</v>
      </c>
      <c r="L6" s="41">
        <f>('Materials Unit Costs'!$F$7*'Pavement Options'!I6)/1000000</f>
        <v>6.8250000000000005E-2</v>
      </c>
      <c r="M6" s="142"/>
    </row>
    <row r="7" spans="3:18" ht="14.5" customHeight="1" x14ac:dyDescent="0.35">
      <c r="C7" s="145"/>
      <c r="D7" s="145"/>
      <c r="E7" s="145"/>
      <c r="F7" s="1" t="s">
        <v>160</v>
      </c>
      <c r="G7" s="98"/>
      <c r="H7" s="99"/>
      <c r="I7" s="79"/>
      <c r="J7" s="78"/>
      <c r="K7" s="80"/>
      <c r="L7" s="41">
        <f>('Materials Unit Costs'!$F$8*'Pavement Options'!J7)/1000000</f>
        <v>0</v>
      </c>
      <c r="M7" s="142"/>
    </row>
    <row r="8" spans="3:18" ht="14.5" customHeight="1" x14ac:dyDescent="0.35">
      <c r="C8" s="145"/>
      <c r="D8" s="145"/>
      <c r="E8" s="145"/>
      <c r="F8" s="1" t="s">
        <v>112</v>
      </c>
      <c r="G8" s="81"/>
      <c r="H8" s="99">
        <v>0</v>
      </c>
      <c r="I8" s="78">
        <f t="shared" ref="I8:I22" si="0">$D$4*$E$4*H8</f>
        <v>0</v>
      </c>
      <c r="J8" s="78">
        <f t="shared" ref="J8:J61" si="1">I8*K8/1000</f>
        <v>0</v>
      </c>
      <c r="K8" s="81">
        <v>2000</v>
      </c>
      <c r="L8" s="55">
        <f>(IF(G8="",0,IFERROR(VLOOKUP(G8, 'Materials Unit Costs'!$C$10:$F$79, 4, FALSE) * I8, "")))/1000000</f>
        <v>0</v>
      </c>
      <c r="M8" s="142"/>
    </row>
    <row r="9" spans="3:18" ht="14.5" customHeight="1" x14ac:dyDescent="0.35">
      <c r="C9" s="145"/>
      <c r="D9" s="145"/>
      <c r="E9" s="145"/>
      <c r="F9" s="1" t="s">
        <v>111</v>
      </c>
      <c r="G9" s="81" t="s">
        <v>120</v>
      </c>
      <c r="H9" s="99">
        <v>150</v>
      </c>
      <c r="I9" s="78">
        <f t="shared" si="0"/>
        <v>9750</v>
      </c>
      <c r="J9" s="78">
        <f t="shared" si="1"/>
        <v>17550</v>
      </c>
      <c r="K9" s="81">
        <v>1800</v>
      </c>
      <c r="L9" s="55">
        <f>(IF(G9="",0,IFERROR(VLOOKUP(G9, 'Materials Unit Costs'!$C$10:$F$79, 4, FALSE) * I9, "")))/1000000</f>
        <v>6.8250000000000005E-2</v>
      </c>
      <c r="M9" s="142"/>
    </row>
    <row r="10" spans="3:18" ht="14.5" customHeight="1" x14ac:dyDescent="0.35">
      <c r="C10" s="145"/>
      <c r="D10" s="145"/>
      <c r="E10" s="145"/>
      <c r="F10" s="1" t="s">
        <v>100</v>
      </c>
      <c r="G10" s="81" t="s">
        <v>40</v>
      </c>
      <c r="H10" s="99">
        <v>250</v>
      </c>
      <c r="I10" s="78">
        <f t="shared" si="0"/>
        <v>16250</v>
      </c>
      <c r="J10" s="78">
        <f t="shared" si="1"/>
        <v>29250</v>
      </c>
      <c r="K10" s="81">
        <v>1800</v>
      </c>
      <c r="L10" s="55">
        <f>(IF(G10="",0,IFERROR(VLOOKUP(G10, 'Materials Unit Costs'!$C$10:$F$79, 4, FALSE) * I10, "")))/1000000</f>
        <v>0.21124999999999999</v>
      </c>
      <c r="M10" s="142"/>
    </row>
    <row r="11" spans="3:18" ht="14.5" customHeight="1" x14ac:dyDescent="0.35">
      <c r="C11" s="145"/>
      <c r="D11" s="145"/>
      <c r="E11" s="145"/>
      <c r="F11" s="1" t="s">
        <v>101</v>
      </c>
      <c r="G11" s="81"/>
      <c r="H11" s="99"/>
      <c r="I11" s="78">
        <f t="shared" si="0"/>
        <v>0</v>
      </c>
      <c r="J11" s="78">
        <f t="shared" si="1"/>
        <v>0</v>
      </c>
      <c r="K11" s="81">
        <v>1800</v>
      </c>
      <c r="L11" s="55">
        <f>(IF(G11="",0,IFERROR(VLOOKUP(G11, 'Materials Unit Costs'!$C$10:$F$79, 4, FALSE) * I11, "")))/1000000</f>
        <v>0</v>
      </c>
      <c r="M11" s="142"/>
    </row>
    <row r="12" spans="3:18" ht="14.5" customHeight="1" x14ac:dyDescent="0.35">
      <c r="C12" s="145"/>
      <c r="D12" s="145"/>
      <c r="E12" s="145"/>
      <c r="F12" s="1" t="s">
        <v>103</v>
      </c>
      <c r="G12" s="81" t="s">
        <v>34</v>
      </c>
      <c r="H12" s="99">
        <v>175</v>
      </c>
      <c r="I12" s="78">
        <f t="shared" si="0"/>
        <v>11375</v>
      </c>
      <c r="J12" s="78">
        <f t="shared" si="1"/>
        <v>19337.5</v>
      </c>
      <c r="K12" s="81">
        <v>1700</v>
      </c>
      <c r="L12" s="55">
        <f>(IF(G12="",0,IFERROR(VLOOKUP(G12, 'Materials Unit Costs'!$C$10:$F$79, 4, FALSE) * I12, "")))/1000000</f>
        <v>0.43225000000000002</v>
      </c>
      <c r="M12" s="142"/>
    </row>
    <row r="13" spans="3:18" ht="14.5" customHeight="1" x14ac:dyDescent="0.35">
      <c r="C13" s="145"/>
      <c r="D13" s="145"/>
      <c r="E13" s="145"/>
      <c r="F13" s="1" t="s">
        <v>102</v>
      </c>
      <c r="G13" s="81"/>
      <c r="H13" s="99"/>
      <c r="I13" s="78">
        <f t="shared" si="0"/>
        <v>0</v>
      </c>
      <c r="J13" s="78">
        <f t="shared" si="1"/>
        <v>0</v>
      </c>
      <c r="K13" s="81">
        <v>1700</v>
      </c>
      <c r="L13" s="55">
        <f>(IF(G13="",0,IFERROR(VLOOKUP(G13, 'Materials Unit Costs'!$C$10:$F$79, 4, FALSE) * I13, "")))/1000000</f>
        <v>0</v>
      </c>
      <c r="M13" s="142"/>
    </row>
    <row r="14" spans="3:18" ht="14.5" customHeight="1" x14ac:dyDescent="0.35">
      <c r="C14" s="145"/>
      <c r="D14" s="145"/>
      <c r="E14" s="145"/>
      <c r="F14" s="1" t="s">
        <v>104</v>
      </c>
      <c r="G14" s="81" t="s">
        <v>44</v>
      </c>
      <c r="H14" s="99">
        <v>60</v>
      </c>
      <c r="I14" s="78">
        <f t="shared" si="0"/>
        <v>3900</v>
      </c>
      <c r="J14" s="78">
        <f t="shared" si="1"/>
        <v>9360</v>
      </c>
      <c r="K14" s="81">
        <v>2400</v>
      </c>
      <c r="L14" s="55">
        <f>(IF(G14="",0,IFERROR(VLOOKUP(G14, 'Materials Unit Costs'!$C$10:$F$79, 4, FALSE) * I14, "")))/1000000</f>
        <v>0.70199999999999996</v>
      </c>
      <c r="M14" s="142"/>
    </row>
    <row r="15" spans="3:18" ht="14.5" customHeight="1" x14ac:dyDescent="0.35">
      <c r="C15" s="145"/>
      <c r="D15" s="145"/>
      <c r="E15" s="145"/>
      <c r="F15" s="1" t="s">
        <v>105</v>
      </c>
      <c r="G15" s="81" t="s">
        <v>42</v>
      </c>
      <c r="H15" s="99">
        <v>40</v>
      </c>
      <c r="I15" s="78">
        <f t="shared" si="0"/>
        <v>2600</v>
      </c>
      <c r="J15" s="78">
        <f t="shared" si="1"/>
        <v>6240</v>
      </c>
      <c r="K15" s="81">
        <v>2400</v>
      </c>
      <c r="L15" s="55">
        <f>(IF(G15="",0,IFERROR(VLOOKUP(G15, 'Materials Unit Costs'!$C$10:$F$79, 4, FALSE) * I15, "")))/1000000</f>
        <v>0.52</v>
      </c>
      <c r="M15" s="142"/>
    </row>
    <row r="16" spans="3:18" ht="14.5" customHeight="1" x14ac:dyDescent="0.35">
      <c r="C16" s="145"/>
      <c r="D16" s="145"/>
      <c r="E16" s="145"/>
      <c r="F16" s="1" t="s">
        <v>106</v>
      </c>
      <c r="G16" s="81" t="s">
        <v>146</v>
      </c>
      <c r="H16" s="99">
        <v>10</v>
      </c>
      <c r="I16" s="78">
        <f>$D$4*$E$4*1000</f>
        <v>65000</v>
      </c>
      <c r="J16" s="78">
        <f>I16*K16*(H16/1000)/1000</f>
        <v>1170</v>
      </c>
      <c r="K16" s="81">
        <v>1800</v>
      </c>
      <c r="L16" s="55">
        <f>(IF(G16="",0,IFERROR(VLOOKUP(G16, 'Materials Unit Costs'!$C$10:$F$79, 4, FALSE) * I16, "")))/1000000</f>
        <v>0.26</v>
      </c>
      <c r="M16" s="142"/>
    </row>
    <row r="17" spans="3:14" ht="14.5" customHeight="1" x14ac:dyDescent="0.35">
      <c r="C17" s="145"/>
      <c r="D17" s="145"/>
      <c r="E17" s="145"/>
      <c r="F17" s="1" t="s">
        <v>184</v>
      </c>
      <c r="G17" s="81"/>
      <c r="H17" s="99"/>
      <c r="I17" s="78">
        <f>$D$4*$E$4*H17</f>
        <v>0</v>
      </c>
      <c r="J17" s="78">
        <f>I17*K17/1000</f>
        <v>0</v>
      </c>
      <c r="K17" s="81">
        <v>2400</v>
      </c>
      <c r="L17" s="55">
        <f>(IF(G17="",0,IFERROR(VLOOKUP(G17, 'Materials Unit Costs'!$C$10:$F$79, 4, FALSE) * I17, "")))/1000000</f>
        <v>0</v>
      </c>
      <c r="M17" s="142"/>
    </row>
    <row r="18" spans="3:14" ht="14.5" customHeight="1" x14ac:dyDescent="0.35">
      <c r="C18" s="145"/>
      <c r="D18" s="145"/>
      <c r="E18" s="145"/>
      <c r="F18" s="1" t="s">
        <v>185</v>
      </c>
      <c r="G18" s="81" t="s">
        <v>146</v>
      </c>
      <c r="H18" s="99">
        <v>10</v>
      </c>
      <c r="I18" s="78">
        <f>$D$4*$E$4*1000</f>
        <v>65000</v>
      </c>
      <c r="J18" s="78">
        <f>I18*K18*(H18/1000)/1000</f>
        <v>1170</v>
      </c>
      <c r="K18" s="81">
        <v>1800</v>
      </c>
      <c r="L18" s="55">
        <f>(IF(G18="",0,IFERROR(VLOOKUP(G18, 'Materials Unit Costs'!$C$10:$F$79, 4, FALSE) * I18, "")))/1000000</f>
        <v>0.26</v>
      </c>
      <c r="M18" s="142"/>
    </row>
    <row r="19" spans="3:14" ht="14.5" customHeight="1" x14ac:dyDescent="0.35">
      <c r="C19" s="145"/>
      <c r="D19" s="145"/>
      <c r="E19" s="145"/>
      <c r="F19" s="1" t="s">
        <v>188</v>
      </c>
      <c r="G19" s="81"/>
      <c r="H19" s="99">
        <v>1</v>
      </c>
      <c r="I19" s="78">
        <f>$D$4*$E$4</f>
        <v>65</v>
      </c>
      <c r="J19" s="78">
        <f>I19*K19/1000</f>
        <v>65</v>
      </c>
      <c r="K19" s="81">
        <v>1000</v>
      </c>
      <c r="L19" s="55">
        <f>(IF(G19="",0,IFERROR(VLOOKUP(G19, 'Materials Unit Costs'!$C$10:$F$79, 4, FALSE) * I19, "")))*1000/1000000</f>
        <v>0</v>
      </c>
      <c r="M19" s="142"/>
    </row>
    <row r="20" spans="3:14" ht="14.5" customHeight="1" x14ac:dyDescent="0.35">
      <c r="C20" s="145"/>
      <c r="D20" s="145"/>
      <c r="E20" s="145"/>
      <c r="F20" s="1" t="s">
        <v>189</v>
      </c>
      <c r="G20" s="81"/>
      <c r="H20" s="99">
        <v>1</v>
      </c>
      <c r="I20" s="78">
        <f>$D$4*$E$4</f>
        <v>65</v>
      </c>
      <c r="J20" s="78">
        <f t="shared" si="1"/>
        <v>65</v>
      </c>
      <c r="K20" s="81">
        <v>1000</v>
      </c>
      <c r="L20" s="55">
        <f>(IF(G20="",0,IFERROR(VLOOKUP(G20, 'Materials Unit Costs'!$C$10:$F$79, 4, FALSE) * I20, "")))*1000/1000000</f>
        <v>0</v>
      </c>
      <c r="M20" s="142"/>
    </row>
    <row r="21" spans="3:14" ht="14.5" customHeight="1" x14ac:dyDescent="0.35">
      <c r="C21" s="145"/>
      <c r="D21" s="145"/>
      <c r="E21" s="145"/>
      <c r="F21" s="1" t="s">
        <v>195</v>
      </c>
      <c r="G21" s="81"/>
      <c r="H21" s="99">
        <v>1</v>
      </c>
      <c r="I21" s="78">
        <f>$D$4*$E$4</f>
        <v>65</v>
      </c>
      <c r="J21" s="78">
        <f t="shared" si="1"/>
        <v>65</v>
      </c>
      <c r="K21" s="81">
        <v>1000</v>
      </c>
      <c r="L21" s="55">
        <f>(IF(G21="",0,IFERROR(VLOOKUP(G21, 'Materials Unit Costs'!$C$10:$F$79, 4, FALSE) * I21, "")))*1000/1000000</f>
        <v>0</v>
      </c>
      <c r="M21" s="142"/>
    </row>
    <row r="22" spans="3:14" ht="14.5" customHeight="1" x14ac:dyDescent="0.35">
      <c r="C22" s="145"/>
      <c r="D22" s="145"/>
      <c r="E22" s="145"/>
      <c r="F22" s="1" t="s">
        <v>186</v>
      </c>
      <c r="G22" s="81"/>
      <c r="H22" s="99">
        <v>0</v>
      </c>
      <c r="I22" s="78">
        <f t="shared" si="0"/>
        <v>0</v>
      </c>
      <c r="J22" s="78">
        <f t="shared" si="1"/>
        <v>0</v>
      </c>
      <c r="K22" s="81">
        <v>2400</v>
      </c>
      <c r="L22" s="55">
        <f>(IF(G22="",0,IFERROR(VLOOKUP(G22, 'Materials Unit Costs'!$C$10:$F$79, 4, FALSE) * I22, "")))/1000000</f>
        <v>0</v>
      </c>
      <c r="M22" s="142"/>
    </row>
    <row r="23" spans="3:14" ht="14.5" customHeight="1" x14ac:dyDescent="0.35">
      <c r="C23" s="146"/>
      <c r="D23" s="146"/>
      <c r="E23" s="146"/>
      <c r="F23" s="1" t="s">
        <v>187</v>
      </c>
      <c r="G23" s="81"/>
      <c r="H23" s="99"/>
      <c r="I23" s="78"/>
      <c r="J23" s="78"/>
      <c r="K23" s="81">
        <v>7750</v>
      </c>
      <c r="L23" s="55">
        <f>(IF(G23="",0,IFERROR(VLOOKUP(G23, 'Materials Unit Costs'!$C$10:$F$79, 4, FALSE) * J23, "")))/1000000</f>
        <v>0</v>
      </c>
      <c r="M23" s="143"/>
    </row>
    <row r="24" spans="3:14" ht="14.5" customHeight="1" x14ac:dyDescent="0.35">
      <c r="C24" s="144">
        <v>2</v>
      </c>
      <c r="D24" s="144">
        <v>3.5</v>
      </c>
      <c r="E24" s="144">
        <v>10</v>
      </c>
      <c r="F24" s="1" t="s">
        <v>159</v>
      </c>
      <c r="G24" s="98"/>
      <c r="H24" s="99"/>
      <c r="I24" s="78"/>
      <c r="J24" s="79"/>
      <c r="K24" s="80"/>
      <c r="L24" s="41">
        <f>('Materials Unit Costs'!$F$5*'Pavement Options'!I24)/1000000</f>
        <v>0</v>
      </c>
      <c r="M24" s="141">
        <f>SUM(L24:L43)</f>
        <v>1.3552700000000004</v>
      </c>
      <c r="N24" s="26"/>
    </row>
    <row r="25" spans="3:14" ht="14.5" customHeight="1" x14ac:dyDescent="0.35">
      <c r="C25" s="145"/>
      <c r="D25" s="145"/>
      <c r="E25" s="145"/>
      <c r="F25" s="1" t="s">
        <v>68</v>
      </c>
      <c r="G25" s="98"/>
      <c r="H25" s="99">
        <v>200</v>
      </c>
      <c r="I25" s="78">
        <f>$D$24*$E$24*H25</f>
        <v>7000</v>
      </c>
      <c r="J25" s="79"/>
      <c r="K25" s="81">
        <v>2100</v>
      </c>
      <c r="L25" s="41">
        <f>('Materials Unit Costs'!$F$6*'Pavement Options'!I25)/1000000</f>
        <v>3.4020000000000002E-2</v>
      </c>
      <c r="M25" s="142"/>
      <c r="N25" s="26"/>
    </row>
    <row r="26" spans="3:14" ht="14.5" customHeight="1" x14ac:dyDescent="0.35">
      <c r="C26" s="145"/>
      <c r="D26" s="145"/>
      <c r="E26" s="145"/>
      <c r="F26" s="1" t="s">
        <v>204</v>
      </c>
      <c r="G26" s="98"/>
      <c r="H26" s="99">
        <v>300</v>
      </c>
      <c r="I26" s="78">
        <f>$D$24*$E$24*H26</f>
        <v>10500</v>
      </c>
      <c r="J26" s="78">
        <f>I26*K26/1000</f>
        <v>22050</v>
      </c>
      <c r="K26" s="81">
        <v>2100</v>
      </c>
      <c r="L26" s="41">
        <f>('Materials Unit Costs'!$F$7*'Pavement Options'!I26)/1000000</f>
        <v>3.6749999999999998E-2</v>
      </c>
      <c r="M26" s="142"/>
      <c r="N26" s="26"/>
    </row>
    <row r="27" spans="3:14" ht="14.5" customHeight="1" x14ac:dyDescent="0.35">
      <c r="C27" s="145"/>
      <c r="D27" s="145"/>
      <c r="E27" s="145"/>
      <c r="F27" s="1" t="s">
        <v>160</v>
      </c>
      <c r="G27" s="98"/>
      <c r="H27" s="99"/>
      <c r="I27" s="79"/>
      <c r="J27" s="78"/>
      <c r="K27" s="80"/>
      <c r="L27" s="41">
        <f>('Materials Unit Costs'!$F$8*'Pavement Options'!J27)/1000000</f>
        <v>0</v>
      </c>
      <c r="M27" s="142"/>
      <c r="N27" s="26"/>
    </row>
    <row r="28" spans="3:14" ht="14.5" customHeight="1" x14ac:dyDescent="0.35">
      <c r="C28" s="145"/>
      <c r="D28" s="145"/>
      <c r="E28" s="145"/>
      <c r="F28" s="1" t="s">
        <v>112</v>
      </c>
      <c r="G28" s="81"/>
      <c r="H28" s="99">
        <v>0</v>
      </c>
      <c r="I28" s="78">
        <f>$D$24*$E$24*H28</f>
        <v>0</v>
      </c>
      <c r="J28" s="78">
        <f t="shared" si="1"/>
        <v>0</v>
      </c>
      <c r="K28" s="81">
        <v>2000</v>
      </c>
      <c r="L28" s="55">
        <f>(IF(G28="",0,IFERROR(VLOOKUP(G28, 'Materials Unit Costs'!$C$10:$F$79, 4, FALSE) * I28, "")))/1000000</f>
        <v>0</v>
      </c>
      <c r="M28" s="142"/>
      <c r="N28" s="26"/>
    </row>
    <row r="29" spans="3:14" ht="14.5" customHeight="1" x14ac:dyDescent="0.35">
      <c r="C29" s="145"/>
      <c r="D29" s="145"/>
      <c r="E29" s="145"/>
      <c r="F29" s="1" t="s">
        <v>111</v>
      </c>
      <c r="G29" s="81" t="s">
        <v>120</v>
      </c>
      <c r="H29" s="99">
        <v>0</v>
      </c>
      <c r="I29" s="78">
        <f t="shared" ref="I29:I37" si="2">$D$24*$E$24*H29</f>
        <v>0</v>
      </c>
      <c r="J29" s="78">
        <f t="shared" si="1"/>
        <v>0</v>
      </c>
      <c r="K29" s="81">
        <v>1800</v>
      </c>
      <c r="L29" s="55">
        <f>(IF(G29="",0,IFERROR(VLOOKUP(G29, 'Materials Unit Costs'!$C$10:$F$79, 4, FALSE) * I29, "")))/1000000</f>
        <v>0</v>
      </c>
      <c r="M29" s="142"/>
      <c r="N29" s="26"/>
    </row>
    <row r="30" spans="3:14" ht="14.5" customHeight="1" x14ac:dyDescent="0.35">
      <c r="C30" s="145"/>
      <c r="D30" s="145"/>
      <c r="E30" s="145"/>
      <c r="F30" s="1" t="s">
        <v>100</v>
      </c>
      <c r="G30" s="81" t="s">
        <v>40</v>
      </c>
      <c r="H30" s="99">
        <v>250</v>
      </c>
      <c r="I30" s="78">
        <f t="shared" si="2"/>
        <v>8750</v>
      </c>
      <c r="J30" s="78">
        <f t="shared" si="1"/>
        <v>15750</v>
      </c>
      <c r="K30" s="81">
        <v>1800</v>
      </c>
      <c r="L30" s="55">
        <f>(IF(G30="",0,IFERROR(VLOOKUP(G30, 'Materials Unit Costs'!$C$10:$F$79, 4, FALSE) * I30, "")))/1000000</f>
        <v>0.11375</v>
      </c>
      <c r="M30" s="142"/>
      <c r="N30" s="26"/>
    </row>
    <row r="31" spans="3:14" ht="14.5" customHeight="1" x14ac:dyDescent="0.35">
      <c r="C31" s="145"/>
      <c r="D31" s="145"/>
      <c r="E31" s="145"/>
      <c r="F31" s="1" t="s">
        <v>101</v>
      </c>
      <c r="G31" s="81"/>
      <c r="H31" s="99"/>
      <c r="I31" s="78">
        <f t="shared" si="2"/>
        <v>0</v>
      </c>
      <c r="J31" s="78">
        <f t="shared" si="1"/>
        <v>0</v>
      </c>
      <c r="K31" s="81">
        <v>1800</v>
      </c>
      <c r="L31" s="55">
        <f>(IF(G31="",0,IFERROR(VLOOKUP(G31, 'Materials Unit Costs'!$C$10:$F$79, 4, FALSE) * I31, "")))/1000000</f>
        <v>0</v>
      </c>
      <c r="M31" s="142"/>
      <c r="N31" s="26"/>
    </row>
    <row r="32" spans="3:14" ht="14.5" customHeight="1" x14ac:dyDescent="0.35">
      <c r="C32" s="145"/>
      <c r="D32" s="145"/>
      <c r="E32" s="145"/>
      <c r="F32" s="1" t="s">
        <v>103</v>
      </c>
      <c r="G32" s="81" t="s">
        <v>34</v>
      </c>
      <c r="H32" s="99">
        <v>175</v>
      </c>
      <c r="I32" s="78">
        <f t="shared" si="2"/>
        <v>6125</v>
      </c>
      <c r="J32" s="78">
        <f t="shared" si="1"/>
        <v>10412.5</v>
      </c>
      <c r="K32" s="81">
        <v>1700</v>
      </c>
      <c r="L32" s="55">
        <f>(IF(G32="",0,IFERROR(VLOOKUP(G32, 'Materials Unit Costs'!$C$10:$F$79, 4, FALSE) * I32, "")))/1000000</f>
        <v>0.23275000000000001</v>
      </c>
      <c r="M32" s="142"/>
      <c r="N32" s="26"/>
    </row>
    <row r="33" spans="3:14" ht="14.5" customHeight="1" x14ac:dyDescent="0.35">
      <c r="C33" s="145"/>
      <c r="D33" s="145"/>
      <c r="E33" s="145"/>
      <c r="F33" s="1" t="s">
        <v>102</v>
      </c>
      <c r="G33" s="81"/>
      <c r="H33" s="99"/>
      <c r="I33" s="78">
        <f t="shared" si="2"/>
        <v>0</v>
      </c>
      <c r="J33" s="78">
        <f t="shared" si="1"/>
        <v>0</v>
      </c>
      <c r="K33" s="81">
        <v>1700</v>
      </c>
      <c r="L33" s="55">
        <f>(IF(G33="",0,IFERROR(VLOOKUP(G33, 'Materials Unit Costs'!$C$10:$F$79, 4, FALSE) * I33, "")))/1000000</f>
        <v>0</v>
      </c>
      <c r="M33" s="142"/>
      <c r="N33" s="26"/>
    </row>
    <row r="34" spans="3:14" ht="14.5" customHeight="1" x14ac:dyDescent="0.35">
      <c r="C34" s="145"/>
      <c r="D34" s="145"/>
      <c r="E34" s="145"/>
      <c r="F34" s="1" t="s">
        <v>104</v>
      </c>
      <c r="G34" s="81" t="s">
        <v>44</v>
      </c>
      <c r="H34" s="99">
        <v>60</v>
      </c>
      <c r="I34" s="78">
        <f t="shared" si="2"/>
        <v>2100</v>
      </c>
      <c r="J34" s="78">
        <f t="shared" si="1"/>
        <v>5040</v>
      </c>
      <c r="K34" s="81">
        <v>2400</v>
      </c>
      <c r="L34" s="55">
        <f>(IF(G34="",0,IFERROR(VLOOKUP(G34, 'Materials Unit Costs'!$C$10:$F$79, 4, FALSE) * I34, "")))/1000000</f>
        <v>0.378</v>
      </c>
      <c r="M34" s="142"/>
      <c r="N34" s="26"/>
    </row>
    <row r="35" spans="3:14" ht="14.5" customHeight="1" x14ac:dyDescent="0.35">
      <c r="C35" s="145"/>
      <c r="D35" s="145"/>
      <c r="E35" s="145"/>
      <c r="F35" s="1" t="s">
        <v>105</v>
      </c>
      <c r="G35" s="81" t="s">
        <v>42</v>
      </c>
      <c r="H35" s="99">
        <v>40</v>
      </c>
      <c r="I35" s="78">
        <f t="shared" si="2"/>
        <v>1400</v>
      </c>
      <c r="J35" s="78">
        <f t="shared" si="1"/>
        <v>3360</v>
      </c>
      <c r="K35" s="81">
        <v>2400</v>
      </c>
      <c r="L35" s="55">
        <f>(IF(G35="",0,IFERROR(VLOOKUP(G35, 'Materials Unit Costs'!$C$10:$F$79, 4, FALSE) * I35, "")))/1000000</f>
        <v>0.28000000000000003</v>
      </c>
      <c r="M35" s="142"/>
      <c r="N35" s="26"/>
    </row>
    <row r="36" spans="3:14" ht="14.5" customHeight="1" x14ac:dyDescent="0.35">
      <c r="C36" s="145"/>
      <c r="D36" s="145"/>
      <c r="E36" s="145"/>
      <c r="F36" s="1" t="s">
        <v>106</v>
      </c>
      <c r="G36" s="81" t="s">
        <v>146</v>
      </c>
      <c r="H36" s="99">
        <v>10</v>
      </c>
      <c r="I36" s="78">
        <f>$D$24*$E$24*1000</f>
        <v>35000</v>
      </c>
      <c r="J36" s="78">
        <f>I36*K36*(H36/1000)/1000</f>
        <v>630</v>
      </c>
      <c r="K36" s="81">
        <v>1800</v>
      </c>
      <c r="L36" s="55">
        <f>(IF(G36="",0,IFERROR(VLOOKUP(G36, 'Materials Unit Costs'!$C$10:$F$79, 4, FALSE) * I36, "")))/1000000</f>
        <v>0.14000000000000001</v>
      </c>
      <c r="M36" s="142"/>
      <c r="N36" s="26"/>
    </row>
    <row r="37" spans="3:14" ht="14.5" customHeight="1" x14ac:dyDescent="0.35">
      <c r="C37" s="145"/>
      <c r="D37" s="145"/>
      <c r="E37" s="145"/>
      <c r="F37" s="1" t="s">
        <v>184</v>
      </c>
      <c r="G37" s="81"/>
      <c r="H37" s="99"/>
      <c r="I37" s="78">
        <f t="shared" si="2"/>
        <v>0</v>
      </c>
      <c r="J37" s="78">
        <f>I37*K37/1000</f>
        <v>0</v>
      </c>
      <c r="K37" s="81">
        <v>2400</v>
      </c>
      <c r="L37" s="55">
        <f>(IF(G37="",0,IFERROR(VLOOKUP(G37, 'Materials Unit Costs'!$C$10:$F$79, 4, FALSE) * I37, "")))/1000000</f>
        <v>0</v>
      </c>
      <c r="M37" s="142"/>
      <c r="N37" s="26"/>
    </row>
    <row r="38" spans="3:14" ht="14.5" customHeight="1" x14ac:dyDescent="0.35">
      <c r="C38" s="145"/>
      <c r="D38" s="145"/>
      <c r="E38" s="145"/>
      <c r="F38" s="1" t="s">
        <v>185</v>
      </c>
      <c r="G38" s="81" t="s">
        <v>146</v>
      </c>
      <c r="H38" s="99">
        <v>10</v>
      </c>
      <c r="I38" s="78">
        <f>$D$24*$E$24*1000</f>
        <v>35000</v>
      </c>
      <c r="J38" s="78">
        <f>I38*K38*(H38/1000)/1000</f>
        <v>630</v>
      </c>
      <c r="K38" s="81">
        <v>1800</v>
      </c>
      <c r="L38" s="55">
        <f>(IF(G38="",0,IFERROR(VLOOKUP(G38, 'Materials Unit Costs'!$C$10:$F$79, 4, FALSE) * I38, "")))/1000000</f>
        <v>0.14000000000000001</v>
      </c>
      <c r="M38" s="142"/>
      <c r="N38" s="26"/>
    </row>
    <row r="39" spans="3:14" ht="14.5" customHeight="1" x14ac:dyDescent="0.35">
      <c r="C39" s="145"/>
      <c r="D39" s="145"/>
      <c r="E39" s="145"/>
      <c r="F39" s="1" t="s">
        <v>188</v>
      </c>
      <c r="G39" s="81"/>
      <c r="H39" s="99">
        <v>1</v>
      </c>
      <c r="I39" s="78">
        <f>$D$24*$E$24</f>
        <v>35</v>
      </c>
      <c r="J39" s="78">
        <f t="shared" ref="J39:J40" si="3">I39*K39/1000</f>
        <v>35</v>
      </c>
      <c r="K39" s="81">
        <v>1000</v>
      </c>
      <c r="L39" s="55">
        <f>(IF(G39="",0,IFERROR(VLOOKUP(G39, 'Materials Unit Costs'!$C$10:$F$79, 4, FALSE) * I39, "")))*1000/1000000</f>
        <v>0</v>
      </c>
      <c r="M39" s="142"/>
      <c r="N39" s="26"/>
    </row>
    <row r="40" spans="3:14" ht="14.5" customHeight="1" x14ac:dyDescent="0.35">
      <c r="C40" s="145"/>
      <c r="D40" s="145"/>
      <c r="E40" s="145"/>
      <c r="F40" s="1" t="s">
        <v>189</v>
      </c>
      <c r="G40" s="81"/>
      <c r="H40" s="99">
        <v>1</v>
      </c>
      <c r="I40" s="78">
        <f>$D$24*$E$24</f>
        <v>35</v>
      </c>
      <c r="J40" s="78">
        <f t="shared" si="3"/>
        <v>35</v>
      </c>
      <c r="K40" s="81">
        <v>1000</v>
      </c>
      <c r="L40" s="55">
        <f>(IF(G40="",0,IFERROR(VLOOKUP(G40, 'Materials Unit Costs'!$C$10:$F$79, 4, FALSE) * I40, "")))*1000/1000000</f>
        <v>0</v>
      </c>
      <c r="M40" s="142"/>
      <c r="N40" s="26"/>
    </row>
    <row r="41" spans="3:14" ht="14.5" customHeight="1" x14ac:dyDescent="0.35">
      <c r="C41" s="145"/>
      <c r="D41" s="145"/>
      <c r="E41" s="145"/>
      <c r="F41" s="1" t="s">
        <v>195</v>
      </c>
      <c r="G41" s="81"/>
      <c r="H41" s="99">
        <v>1</v>
      </c>
      <c r="I41" s="78">
        <f>$D$24*$E$24</f>
        <v>35</v>
      </c>
      <c r="J41" s="78">
        <f t="shared" ref="J41" si="4">I41*K41/1000</f>
        <v>35</v>
      </c>
      <c r="K41" s="81">
        <v>1000</v>
      </c>
      <c r="L41" s="55">
        <f>(IF(G41="",0,IFERROR(VLOOKUP(G41, 'Materials Unit Costs'!$C$10:$F$79, 4, FALSE) * I41, "")))*1000/1000000</f>
        <v>0</v>
      </c>
      <c r="M41" s="142"/>
      <c r="N41" s="26"/>
    </row>
    <row r="42" spans="3:14" ht="14.5" customHeight="1" x14ac:dyDescent="0.35">
      <c r="C42" s="145"/>
      <c r="D42" s="145"/>
      <c r="E42" s="145"/>
      <c r="F42" s="1" t="s">
        <v>186</v>
      </c>
      <c r="G42" s="81"/>
      <c r="H42" s="99">
        <v>0</v>
      </c>
      <c r="I42" s="78">
        <f>$D$24*$E$24*H42</f>
        <v>0</v>
      </c>
      <c r="J42" s="78">
        <f t="shared" ref="J42" si="5">I42*K42/1000</f>
        <v>0</v>
      </c>
      <c r="K42" s="81">
        <v>2400</v>
      </c>
      <c r="L42" s="55">
        <f>(IF(G42="",0,IFERROR(VLOOKUP(G42, 'Materials Unit Costs'!$C$10:$F$79, 4, FALSE) * I42, "")))/1000000</f>
        <v>0</v>
      </c>
      <c r="M42" s="142"/>
      <c r="N42" s="26"/>
    </row>
    <row r="43" spans="3:14" ht="14.5" customHeight="1" x14ac:dyDescent="0.35">
      <c r="C43" s="146"/>
      <c r="D43" s="146"/>
      <c r="E43" s="146"/>
      <c r="F43" s="1" t="s">
        <v>187</v>
      </c>
      <c r="G43" s="81"/>
      <c r="H43" s="99"/>
      <c r="I43" s="78"/>
      <c r="J43" s="78"/>
      <c r="K43" s="81">
        <v>7750</v>
      </c>
      <c r="L43" s="55">
        <f>(IF(G43="",0,IFERROR(VLOOKUP(G43, 'Materials Unit Costs'!$C$10:$F$79, 4, FALSE) * J43, "")))/1000000</f>
        <v>0</v>
      </c>
      <c r="M43" s="143"/>
      <c r="N43" s="26"/>
    </row>
    <row r="44" spans="3:14" ht="14.5" customHeight="1" x14ac:dyDescent="0.35">
      <c r="C44" s="144">
        <v>3</v>
      </c>
      <c r="D44" s="144">
        <v>6</v>
      </c>
      <c r="E44" s="144">
        <v>10</v>
      </c>
      <c r="F44" s="1" t="s">
        <v>159</v>
      </c>
      <c r="G44" s="98"/>
      <c r="H44" s="99"/>
      <c r="I44" s="78"/>
      <c r="J44" s="79"/>
      <c r="K44" s="80"/>
      <c r="L44" s="41">
        <f>('Materials Unit Costs'!$F$5*'Pavement Options'!I44)/1000000</f>
        <v>0</v>
      </c>
      <c r="M44" s="141">
        <f>SUM(L44:L63)</f>
        <v>2.4283200000000003</v>
      </c>
    </row>
    <row r="45" spans="3:14" ht="14.5" customHeight="1" x14ac:dyDescent="0.35">
      <c r="C45" s="145"/>
      <c r="D45" s="145"/>
      <c r="E45" s="145"/>
      <c r="F45" s="1" t="s">
        <v>68</v>
      </c>
      <c r="G45" s="98"/>
      <c r="H45" s="99">
        <v>200</v>
      </c>
      <c r="I45" s="78">
        <f>$D$44*$E$44*H45</f>
        <v>12000</v>
      </c>
      <c r="J45" s="79"/>
      <c r="K45" s="81">
        <v>2100</v>
      </c>
      <c r="L45" s="41">
        <f>('Materials Unit Costs'!$F$6*'Pavement Options'!I45)/1000000</f>
        <v>5.8320000000000011E-2</v>
      </c>
      <c r="M45" s="142"/>
    </row>
    <row r="46" spans="3:14" ht="14.5" customHeight="1" x14ac:dyDescent="0.35">
      <c r="C46" s="145"/>
      <c r="D46" s="145"/>
      <c r="E46" s="145"/>
      <c r="F46" s="1" t="s">
        <v>204</v>
      </c>
      <c r="G46" s="98"/>
      <c r="H46" s="99">
        <v>300</v>
      </c>
      <c r="I46" s="78">
        <f>$D$44*$E$44*H46</f>
        <v>18000</v>
      </c>
      <c r="J46" s="78">
        <f>I46*K46/1000</f>
        <v>37800</v>
      </c>
      <c r="K46" s="81">
        <v>2100</v>
      </c>
      <c r="L46" s="41">
        <f>('Materials Unit Costs'!$F$7*'Pavement Options'!I46)/1000000</f>
        <v>6.3E-2</v>
      </c>
      <c r="M46" s="142"/>
    </row>
    <row r="47" spans="3:14" ht="14.5" customHeight="1" x14ac:dyDescent="0.35">
      <c r="C47" s="145"/>
      <c r="D47" s="145"/>
      <c r="E47" s="145"/>
      <c r="F47" s="1" t="s">
        <v>160</v>
      </c>
      <c r="G47" s="98"/>
      <c r="H47" s="99"/>
      <c r="I47" s="79"/>
      <c r="J47" s="78"/>
      <c r="K47" s="80"/>
      <c r="L47" s="41">
        <f>('Materials Unit Costs'!$F$8*'Pavement Options'!J47)/1000000</f>
        <v>0</v>
      </c>
      <c r="M47" s="142"/>
    </row>
    <row r="48" spans="3:14" ht="14.5" customHeight="1" x14ac:dyDescent="0.35">
      <c r="C48" s="145"/>
      <c r="D48" s="145"/>
      <c r="E48" s="145"/>
      <c r="F48" s="1" t="s">
        <v>112</v>
      </c>
      <c r="G48" s="81"/>
      <c r="H48" s="99">
        <v>0</v>
      </c>
      <c r="I48" s="78">
        <f t="shared" ref="I48:I57" si="6">$D$44*$E$44*H48</f>
        <v>0</v>
      </c>
      <c r="J48" s="78">
        <f t="shared" si="1"/>
        <v>0</v>
      </c>
      <c r="K48" s="81">
        <v>2000</v>
      </c>
      <c r="L48" s="55">
        <f>(IF(G48="",0,IFERROR(VLOOKUP(G48, 'Materials Unit Costs'!$C$10:$F$79, 4, FALSE) * I48, "")))/1000000</f>
        <v>0</v>
      </c>
      <c r="M48" s="142"/>
    </row>
    <row r="49" spans="3:13" ht="14.5" customHeight="1" x14ac:dyDescent="0.35">
      <c r="C49" s="145"/>
      <c r="D49" s="145"/>
      <c r="E49" s="145"/>
      <c r="F49" s="1" t="s">
        <v>111</v>
      </c>
      <c r="G49" s="81" t="s">
        <v>120</v>
      </c>
      <c r="H49" s="99">
        <v>250</v>
      </c>
      <c r="I49" s="78">
        <f t="shared" si="6"/>
        <v>15000</v>
      </c>
      <c r="J49" s="78">
        <f t="shared" si="1"/>
        <v>27000</v>
      </c>
      <c r="K49" s="81">
        <v>1800</v>
      </c>
      <c r="L49" s="55">
        <f>(IF(G49="",0,IFERROR(VLOOKUP(G49, 'Materials Unit Costs'!$C$10:$F$79, 4, FALSE) * I49, "")))/1000000</f>
        <v>0.105</v>
      </c>
      <c r="M49" s="142"/>
    </row>
    <row r="50" spans="3:13" ht="14.5" customHeight="1" x14ac:dyDescent="0.35">
      <c r="C50" s="145"/>
      <c r="D50" s="145"/>
      <c r="E50" s="145"/>
      <c r="F50" s="1" t="s">
        <v>100</v>
      </c>
      <c r="G50" s="81" t="s">
        <v>40</v>
      </c>
      <c r="H50" s="99">
        <v>250</v>
      </c>
      <c r="I50" s="78">
        <f t="shared" si="6"/>
        <v>15000</v>
      </c>
      <c r="J50" s="78">
        <f t="shared" si="1"/>
        <v>27000</v>
      </c>
      <c r="K50" s="81">
        <v>1800</v>
      </c>
      <c r="L50" s="55">
        <f>(IF(G50="",0,IFERROR(VLOOKUP(G50, 'Materials Unit Costs'!$C$10:$F$79, 4, FALSE) * I50, "")))/1000000</f>
        <v>0.19500000000000001</v>
      </c>
      <c r="M50" s="142"/>
    </row>
    <row r="51" spans="3:13" ht="14.5" customHeight="1" x14ac:dyDescent="0.35">
      <c r="C51" s="145"/>
      <c r="D51" s="145"/>
      <c r="E51" s="145"/>
      <c r="F51" s="1" t="s">
        <v>101</v>
      </c>
      <c r="G51" s="81"/>
      <c r="H51" s="99"/>
      <c r="I51" s="78">
        <f t="shared" si="6"/>
        <v>0</v>
      </c>
      <c r="J51" s="78">
        <f t="shared" si="1"/>
        <v>0</v>
      </c>
      <c r="K51" s="81">
        <v>1800</v>
      </c>
      <c r="L51" s="55">
        <f>(IF(G51="",0,IFERROR(VLOOKUP(G51, 'Materials Unit Costs'!$C$10:$F$79, 4, FALSE) * I51, "")))/1000000</f>
        <v>0</v>
      </c>
      <c r="M51" s="142"/>
    </row>
    <row r="52" spans="3:13" ht="14.5" customHeight="1" x14ac:dyDescent="0.35">
      <c r="C52" s="145"/>
      <c r="D52" s="145"/>
      <c r="E52" s="145"/>
      <c r="F52" s="1" t="s">
        <v>103</v>
      </c>
      <c r="G52" s="81" t="s">
        <v>34</v>
      </c>
      <c r="H52" s="99">
        <v>175</v>
      </c>
      <c r="I52" s="78">
        <f t="shared" si="6"/>
        <v>10500</v>
      </c>
      <c r="J52" s="78">
        <f t="shared" si="1"/>
        <v>17850</v>
      </c>
      <c r="K52" s="81">
        <v>1700</v>
      </c>
      <c r="L52" s="55">
        <f>(IF(G52="",0,IFERROR(VLOOKUP(G52, 'Materials Unit Costs'!$C$10:$F$79, 4, FALSE) * I52, "")))/1000000</f>
        <v>0.39900000000000002</v>
      </c>
      <c r="M52" s="142"/>
    </row>
    <row r="53" spans="3:13" ht="14.5" customHeight="1" x14ac:dyDescent="0.35">
      <c r="C53" s="145"/>
      <c r="D53" s="145"/>
      <c r="E53" s="145"/>
      <c r="F53" s="1" t="s">
        <v>102</v>
      </c>
      <c r="G53" s="81"/>
      <c r="H53" s="99"/>
      <c r="I53" s="78">
        <f t="shared" si="6"/>
        <v>0</v>
      </c>
      <c r="J53" s="78">
        <f t="shared" si="1"/>
        <v>0</v>
      </c>
      <c r="K53" s="81">
        <v>1700</v>
      </c>
      <c r="L53" s="55">
        <f>(IF(G53="",0,IFERROR(VLOOKUP(G53, 'Materials Unit Costs'!$C$10:$F$79, 4, FALSE) * I53, "")))/1000000</f>
        <v>0</v>
      </c>
      <c r="M53" s="142"/>
    </row>
    <row r="54" spans="3:13" ht="14.5" customHeight="1" x14ac:dyDescent="0.35">
      <c r="C54" s="145"/>
      <c r="D54" s="145"/>
      <c r="E54" s="145"/>
      <c r="F54" s="1" t="s">
        <v>104</v>
      </c>
      <c r="G54" s="81" t="s">
        <v>44</v>
      </c>
      <c r="H54" s="99">
        <v>60</v>
      </c>
      <c r="I54" s="78">
        <f t="shared" si="6"/>
        <v>3600</v>
      </c>
      <c r="J54" s="78">
        <f t="shared" si="1"/>
        <v>8640</v>
      </c>
      <c r="K54" s="81">
        <v>2400</v>
      </c>
      <c r="L54" s="55">
        <f>(IF(G54="",0,IFERROR(VLOOKUP(G54, 'Materials Unit Costs'!$C$10:$F$79, 4, FALSE) * I54, "")))/1000000</f>
        <v>0.64800000000000002</v>
      </c>
      <c r="M54" s="142"/>
    </row>
    <row r="55" spans="3:13" ht="14.5" customHeight="1" x14ac:dyDescent="0.35">
      <c r="C55" s="145"/>
      <c r="D55" s="145"/>
      <c r="E55" s="145"/>
      <c r="F55" s="1" t="s">
        <v>105</v>
      </c>
      <c r="G55" s="81" t="s">
        <v>42</v>
      </c>
      <c r="H55" s="99">
        <v>40</v>
      </c>
      <c r="I55" s="78">
        <f>$D$44*$E$44*H55</f>
        <v>2400</v>
      </c>
      <c r="J55" s="78">
        <f t="shared" si="1"/>
        <v>5760</v>
      </c>
      <c r="K55" s="81">
        <v>2400</v>
      </c>
      <c r="L55" s="55">
        <f>(IF(G55="",0,IFERROR(VLOOKUP(G55, 'Materials Unit Costs'!$C$10:$F$79, 4, FALSE) * I55, "")))/1000000</f>
        <v>0.48</v>
      </c>
      <c r="M55" s="142"/>
    </row>
    <row r="56" spans="3:13" ht="14.5" customHeight="1" x14ac:dyDescent="0.35">
      <c r="C56" s="145"/>
      <c r="D56" s="145"/>
      <c r="E56" s="145"/>
      <c r="F56" s="1" t="s">
        <v>106</v>
      </c>
      <c r="G56" s="81" t="s">
        <v>146</v>
      </c>
      <c r="H56" s="99">
        <v>10</v>
      </c>
      <c r="I56" s="78">
        <f>$D$44*$E$44*1000</f>
        <v>60000</v>
      </c>
      <c r="J56" s="78">
        <f>I56*K56*(H56/1000)/1000</f>
        <v>1080</v>
      </c>
      <c r="K56" s="81">
        <v>1800</v>
      </c>
      <c r="L56" s="55">
        <f>(IF(G56="",0,IFERROR(VLOOKUP(G56, 'Materials Unit Costs'!$C$10:$F$79, 4, FALSE) * I56, "")))/1000000</f>
        <v>0.24</v>
      </c>
      <c r="M56" s="142"/>
    </row>
    <row r="57" spans="3:13" ht="14.5" customHeight="1" x14ac:dyDescent="0.35">
      <c r="C57" s="145"/>
      <c r="D57" s="145"/>
      <c r="E57" s="145"/>
      <c r="F57" s="1" t="s">
        <v>184</v>
      </c>
      <c r="G57" s="81"/>
      <c r="H57" s="99"/>
      <c r="I57" s="78">
        <f t="shared" si="6"/>
        <v>0</v>
      </c>
      <c r="J57" s="78">
        <f>I57*K57/1000</f>
        <v>0</v>
      </c>
      <c r="K57" s="81">
        <v>2400</v>
      </c>
      <c r="L57" s="55">
        <f>(IF(G57="",0,IFERROR(VLOOKUP(G57, 'Materials Unit Costs'!$C$10:$F$79, 4, FALSE) * I57, "")))/1000000</f>
        <v>0</v>
      </c>
      <c r="M57" s="142"/>
    </row>
    <row r="58" spans="3:13" ht="14.5" customHeight="1" x14ac:dyDescent="0.35">
      <c r="C58" s="145"/>
      <c r="D58" s="145"/>
      <c r="E58" s="145"/>
      <c r="F58" s="1" t="s">
        <v>185</v>
      </c>
      <c r="G58" s="81" t="s">
        <v>146</v>
      </c>
      <c r="H58" s="99">
        <v>10</v>
      </c>
      <c r="I58" s="78">
        <f>$D$44*$E$44*1000</f>
        <v>60000</v>
      </c>
      <c r="J58" s="78">
        <f>I58*K58*(H58/1000)/1000</f>
        <v>1080</v>
      </c>
      <c r="K58" s="81">
        <v>1800</v>
      </c>
      <c r="L58" s="55">
        <f>(IF(G58="",0,IFERROR(VLOOKUP(G58, 'Materials Unit Costs'!$C$10:$F$79, 4, FALSE) * I58, "")))/1000000</f>
        <v>0.24</v>
      </c>
      <c r="M58" s="142"/>
    </row>
    <row r="59" spans="3:13" ht="14.5" customHeight="1" x14ac:dyDescent="0.35">
      <c r="C59" s="145"/>
      <c r="D59" s="145"/>
      <c r="E59" s="145"/>
      <c r="F59" s="1" t="s">
        <v>188</v>
      </c>
      <c r="G59" s="81"/>
      <c r="H59" s="99">
        <v>1</v>
      </c>
      <c r="I59" s="78">
        <f>$D$44*$E$44</f>
        <v>60</v>
      </c>
      <c r="J59" s="78">
        <f t="shared" si="1"/>
        <v>60</v>
      </c>
      <c r="K59" s="81">
        <v>1000</v>
      </c>
      <c r="L59" s="55">
        <f>(IF(G59="",0,IFERROR(VLOOKUP(G59, 'Materials Unit Costs'!$C$10:$F$79, 4, FALSE) * I59, "")))*1000/1000000</f>
        <v>0</v>
      </c>
      <c r="M59" s="142"/>
    </row>
    <row r="60" spans="3:13" ht="14.5" customHeight="1" x14ac:dyDescent="0.35">
      <c r="C60" s="145"/>
      <c r="D60" s="145"/>
      <c r="E60" s="145"/>
      <c r="F60" s="1" t="s">
        <v>189</v>
      </c>
      <c r="G60" s="81"/>
      <c r="H60" s="99">
        <v>1</v>
      </c>
      <c r="I60" s="78">
        <f>$D$44*$E$44</f>
        <v>60</v>
      </c>
      <c r="J60" s="78">
        <f t="shared" si="1"/>
        <v>60</v>
      </c>
      <c r="K60" s="81">
        <v>1000</v>
      </c>
      <c r="L60" s="55">
        <f>(IF(G60="",0,IFERROR(VLOOKUP(G60, 'Materials Unit Costs'!$C$10:$F$79, 4, FALSE) * I60, "")))*1000/1000000</f>
        <v>0</v>
      </c>
      <c r="M60" s="142"/>
    </row>
    <row r="61" spans="3:13" ht="14.5" customHeight="1" x14ac:dyDescent="0.35">
      <c r="C61" s="145"/>
      <c r="D61" s="145"/>
      <c r="E61" s="145"/>
      <c r="F61" s="1" t="s">
        <v>195</v>
      </c>
      <c r="G61" s="81"/>
      <c r="H61" s="99">
        <v>1</v>
      </c>
      <c r="I61" s="78">
        <f>$D$44*$E$44</f>
        <v>60</v>
      </c>
      <c r="J61" s="78">
        <f t="shared" si="1"/>
        <v>60</v>
      </c>
      <c r="K61" s="81">
        <v>1000</v>
      </c>
      <c r="L61" s="55">
        <f>(IF(G61="",0,IFERROR(VLOOKUP(G61, 'Materials Unit Costs'!$C$10:$F$79, 4, FALSE) * I61, "")))*1000/1000000</f>
        <v>0</v>
      </c>
      <c r="M61" s="142"/>
    </row>
    <row r="62" spans="3:13" ht="14.5" customHeight="1" x14ac:dyDescent="0.35">
      <c r="C62" s="145"/>
      <c r="D62" s="145"/>
      <c r="E62" s="145"/>
      <c r="F62" s="1" t="s">
        <v>186</v>
      </c>
      <c r="G62" s="81"/>
      <c r="H62" s="99">
        <v>0</v>
      </c>
      <c r="I62" s="78">
        <f>$D$44*$E$44*H62</f>
        <v>0</v>
      </c>
      <c r="J62" s="78">
        <f t="shared" ref="J62" si="7">I62*K62/1000</f>
        <v>0</v>
      </c>
      <c r="K62" s="81">
        <v>2400</v>
      </c>
      <c r="L62" s="55">
        <f>(IF(G62="",0,IFERROR(VLOOKUP(G62, 'Materials Unit Costs'!$C$10:$F$79, 4, FALSE) * I62, "")))/1000000</f>
        <v>0</v>
      </c>
      <c r="M62" s="142"/>
    </row>
    <row r="63" spans="3:13" ht="14.5" customHeight="1" x14ac:dyDescent="0.35">
      <c r="C63" s="146"/>
      <c r="D63" s="146"/>
      <c r="E63" s="146"/>
      <c r="F63" s="1" t="s">
        <v>187</v>
      </c>
      <c r="G63" s="81"/>
      <c r="H63" s="99"/>
      <c r="I63" s="78"/>
      <c r="J63" s="78"/>
      <c r="K63" s="81">
        <v>7750</v>
      </c>
      <c r="L63" s="55">
        <f>(IF(G63="",0,IFERROR(VLOOKUP(G63, 'Materials Unit Costs'!$C$10:$F$79, 4, FALSE) * J63, "")))/1000000</f>
        <v>0</v>
      </c>
      <c r="M63" s="143"/>
    </row>
    <row r="64" spans="3:13" ht="21" x14ac:dyDescent="0.5">
      <c r="C64" s="150" t="s">
        <v>161</v>
      </c>
      <c r="D64" s="150"/>
      <c r="E64" s="150"/>
      <c r="F64" s="150"/>
      <c r="G64" s="150"/>
      <c r="H64" s="150"/>
      <c r="I64" s="150"/>
      <c r="J64" s="150"/>
      <c r="K64" s="150"/>
      <c r="L64" s="150"/>
      <c r="M64" s="56">
        <f>M4+M24+M44</f>
        <v>6.3687699999999996</v>
      </c>
    </row>
    <row r="65" spans="3:13" x14ac:dyDescent="0.35">
      <c r="C65" s="12"/>
      <c r="D65" s="12"/>
      <c r="E65" s="12"/>
      <c r="J65" s="13"/>
    </row>
    <row r="66" spans="3:13" x14ac:dyDescent="0.35">
      <c r="C66" s="11" t="s">
        <v>127</v>
      </c>
    </row>
    <row r="67" spans="3:13" ht="49.5" customHeight="1" x14ac:dyDescent="0.35">
      <c r="C67" s="6" t="s">
        <v>109</v>
      </c>
      <c r="D67" s="10" t="s">
        <v>114</v>
      </c>
      <c r="E67" s="10" t="s">
        <v>108</v>
      </c>
      <c r="F67" s="6" t="s">
        <v>13</v>
      </c>
      <c r="G67" s="6" t="s">
        <v>69</v>
      </c>
      <c r="H67" s="10" t="s">
        <v>107</v>
      </c>
      <c r="I67" s="10" t="s">
        <v>110</v>
      </c>
      <c r="J67" s="10" t="s">
        <v>113</v>
      </c>
      <c r="K67" s="10" t="s">
        <v>249</v>
      </c>
      <c r="L67" s="102" t="s">
        <v>250</v>
      </c>
      <c r="M67" s="102" t="s">
        <v>251</v>
      </c>
    </row>
    <row r="68" spans="3:13" ht="14.5" customHeight="1" x14ac:dyDescent="0.35">
      <c r="C68" s="144">
        <v>1</v>
      </c>
      <c r="D68" s="144">
        <v>6.5</v>
      </c>
      <c r="E68" s="144">
        <v>10</v>
      </c>
      <c r="F68" s="1" t="s">
        <v>159</v>
      </c>
      <c r="G68" s="98"/>
      <c r="H68" s="99"/>
      <c r="I68" s="78"/>
      <c r="J68" s="79"/>
      <c r="K68" s="80"/>
      <c r="L68" s="41">
        <f>('Materials Unit Costs'!$F$5*'Pavement Options'!I68)/1000000</f>
        <v>0</v>
      </c>
      <c r="M68" s="141">
        <f>SUM(L68:L87)</f>
        <v>2.4958049999999998</v>
      </c>
    </row>
    <row r="69" spans="3:13" ht="14.5" customHeight="1" x14ac:dyDescent="0.35">
      <c r="C69" s="145"/>
      <c r="D69" s="145"/>
      <c r="E69" s="145"/>
      <c r="F69" s="1" t="s">
        <v>68</v>
      </c>
      <c r="G69" s="98"/>
      <c r="H69" s="99">
        <v>200</v>
      </c>
      <c r="I69" s="78">
        <f>$D$68*$E$68*H69</f>
        <v>13000</v>
      </c>
      <c r="J69" s="79"/>
      <c r="K69" s="81">
        <v>2100</v>
      </c>
      <c r="L69" s="41">
        <f>('Materials Unit Costs'!$F$6*'Pavement Options'!I69)/1000000</f>
        <v>6.3180000000000014E-2</v>
      </c>
      <c r="M69" s="142"/>
    </row>
    <row r="70" spans="3:13" ht="14.5" customHeight="1" x14ac:dyDescent="0.35">
      <c r="C70" s="145"/>
      <c r="D70" s="145"/>
      <c r="E70" s="145"/>
      <c r="F70" s="1" t="s">
        <v>204</v>
      </c>
      <c r="G70" s="98"/>
      <c r="H70" s="99">
        <v>300</v>
      </c>
      <c r="I70" s="78">
        <f>$D$68*$E$68*H70</f>
        <v>19500</v>
      </c>
      <c r="J70" s="78">
        <f>I70*K70/1000</f>
        <v>40950</v>
      </c>
      <c r="K70" s="81">
        <v>2100</v>
      </c>
      <c r="L70" s="41">
        <f>('Materials Unit Costs'!$F$7*'Pavement Options'!I70)/1000000</f>
        <v>6.8250000000000005E-2</v>
      </c>
      <c r="M70" s="142"/>
    </row>
    <row r="71" spans="3:13" ht="14.5" customHeight="1" x14ac:dyDescent="0.35">
      <c r="C71" s="145"/>
      <c r="D71" s="145"/>
      <c r="E71" s="145"/>
      <c r="F71" s="1" t="s">
        <v>160</v>
      </c>
      <c r="G71" s="98"/>
      <c r="H71" s="99"/>
      <c r="I71" s="79"/>
      <c r="J71" s="78"/>
      <c r="K71" s="80"/>
      <c r="L71" s="41">
        <f>('Materials Unit Costs'!$F$8*'Pavement Options'!J71)/1000000</f>
        <v>0</v>
      </c>
      <c r="M71" s="142"/>
    </row>
    <row r="72" spans="3:13" ht="14.5" customHeight="1" x14ac:dyDescent="0.35">
      <c r="C72" s="145"/>
      <c r="D72" s="145"/>
      <c r="E72" s="145"/>
      <c r="F72" s="1" t="s">
        <v>112</v>
      </c>
      <c r="G72" s="81" t="s">
        <v>118</v>
      </c>
      <c r="H72" s="99">
        <v>275</v>
      </c>
      <c r="I72" s="78">
        <f>$D$68*$E$68*H72</f>
        <v>17875</v>
      </c>
      <c r="J72" s="78">
        <f t="shared" ref="J72:J125" si="8">I72*K72/1000</f>
        <v>35750</v>
      </c>
      <c r="K72" s="81">
        <v>2000</v>
      </c>
      <c r="L72" s="55">
        <f>(IF(G72="",0,IFERROR(VLOOKUP(G72, 'Materials Unit Costs'!$C$10:$F$79, 4, FALSE) * I72, "")))/1000000</f>
        <v>0.12512499999999999</v>
      </c>
      <c r="M72" s="142"/>
    </row>
    <row r="73" spans="3:13" ht="14.5" customHeight="1" x14ac:dyDescent="0.35">
      <c r="C73" s="145"/>
      <c r="D73" s="145"/>
      <c r="E73" s="145"/>
      <c r="F73" s="1" t="s">
        <v>111</v>
      </c>
      <c r="G73" s="81"/>
      <c r="H73" s="99">
        <v>0</v>
      </c>
      <c r="I73" s="78">
        <f t="shared" ref="I73:I81" si="9">$D$68*$E$68*H73</f>
        <v>0</v>
      </c>
      <c r="J73" s="78">
        <f t="shared" si="8"/>
        <v>0</v>
      </c>
      <c r="K73" s="81">
        <v>1800</v>
      </c>
      <c r="L73" s="55">
        <f>(IF(G73="",0,IFERROR(VLOOKUP(G73, 'Materials Unit Costs'!$C$10:$F$79, 4, FALSE) * I73, "")))/1000000</f>
        <v>0</v>
      </c>
      <c r="M73" s="142"/>
    </row>
    <row r="74" spans="3:13" ht="14.5" customHeight="1" x14ac:dyDescent="0.35">
      <c r="C74" s="145"/>
      <c r="D74" s="145"/>
      <c r="E74" s="145"/>
      <c r="F74" s="1" t="s">
        <v>100</v>
      </c>
      <c r="G74" s="81" t="s">
        <v>40</v>
      </c>
      <c r="H74" s="99">
        <v>150</v>
      </c>
      <c r="I74" s="78">
        <f t="shared" si="9"/>
        <v>9750</v>
      </c>
      <c r="J74" s="78">
        <f t="shared" si="8"/>
        <v>17550</v>
      </c>
      <c r="K74" s="81">
        <v>1800</v>
      </c>
      <c r="L74" s="55">
        <f>(IF(G74="",0,IFERROR(VLOOKUP(G74, 'Materials Unit Costs'!$C$10:$F$79, 4, FALSE) * I74, "")))/1000000</f>
        <v>0.12675</v>
      </c>
      <c r="M74" s="142"/>
    </row>
    <row r="75" spans="3:13" ht="14.5" customHeight="1" x14ac:dyDescent="0.35">
      <c r="C75" s="145"/>
      <c r="D75" s="145"/>
      <c r="E75" s="145"/>
      <c r="F75" s="1" t="s">
        <v>101</v>
      </c>
      <c r="G75" s="81"/>
      <c r="H75" s="99"/>
      <c r="I75" s="78">
        <f t="shared" si="9"/>
        <v>0</v>
      </c>
      <c r="J75" s="78">
        <f t="shared" si="8"/>
        <v>0</v>
      </c>
      <c r="K75" s="81">
        <v>1800</v>
      </c>
      <c r="L75" s="55">
        <f>(IF(G75="",0,IFERROR(VLOOKUP(G75, 'Materials Unit Costs'!$C$10:$F$79, 4, FALSE) * I75, "")))/1000000</f>
        <v>0</v>
      </c>
      <c r="M75" s="142"/>
    </row>
    <row r="76" spans="3:13" ht="14.5" customHeight="1" x14ac:dyDescent="0.35">
      <c r="C76" s="145"/>
      <c r="D76" s="145"/>
      <c r="E76" s="145"/>
      <c r="F76" s="1" t="s">
        <v>103</v>
      </c>
      <c r="G76" s="81" t="s">
        <v>34</v>
      </c>
      <c r="H76" s="99">
        <v>150</v>
      </c>
      <c r="I76" s="78">
        <f t="shared" si="9"/>
        <v>9750</v>
      </c>
      <c r="J76" s="78">
        <f t="shared" si="8"/>
        <v>16575</v>
      </c>
      <c r="K76" s="81">
        <v>1700</v>
      </c>
      <c r="L76" s="55">
        <f>(IF(G76="",0,IFERROR(VLOOKUP(G76, 'Materials Unit Costs'!$C$10:$F$79, 4, FALSE) * I76, "")))/1000000</f>
        <v>0.3705</v>
      </c>
      <c r="M76" s="142"/>
    </row>
    <row r="77" spans="3:13" ht="14.5" customHeight="1" x14ac:dyDescent="0.35">
      <c r="C77" s="145"/>
      <c r="D77" s="145"/>
      <c r="E77" s="145"/>
      <c r="F77" s="1" t="s">
        <v>102</v>
      </c>
      <c r="G77" s="81"/>
      <c r="H77" s="99"/>
      <c r="I77" s="78">
        <f t="shared" si="9"/>
        <v>0</v>
      </c>
      <c r="J77" s="78">
        <f t="shared" si="8"/>
        <v>0</v>
      </c>
      <c r="K77" s="81">
        <v>1700</v>
      </c>
      <c r="L77" s="55">
        <f>(IF(G77="",0,IFERROR(VLOOKUP(G77, 'Materials Unit Costs'!$C$10:$F$79, 4, FALSE) * I77, "")))/1000000</f>
        <v>0</v>
      </c>
      <c r="M77" s="142"/>
    </row>
    <row r="78" spans="3:13" ht="14.5" customHeight="1" x14ac:dyDescent="0.35">
      <c r="C78" s="145"/>
      <c r="D78" s="145"/>
      <c r="E78" s="145"/>
      <c r="F78" s="1" t="s">
        <v>104</v>
      </c>
      <c r="G78" s="81" t="s">
        <v>44</v>
      </c>
      <c r="H78" s="99">
        <v>60</v>
      </c>
      <c r="I78" s="78">
        <f t="shared" si="9"/>
        <v>3900</v>
      </c>
      <c r="J78" s="78">
        <f t="shared" si="8"/>
        <v>9360</v>
      </c>
      <c r="K78" s="81">
        <v>2400</v>
      </c>
      <c r="L78" s="55">
        <f>(IF(G78="",0,IFERROR(VLOOKUP(G78, 'Materials Unit Costs'!$C$10:$F$79, 4, FALSE) * I78, "")))/1000000</f>
        <v>0.70199999999999996</v>
      </c>
      <c r="M78" s="142"/>
    </row>
    <row r="79" spans="3:13" ht="14.5" customHeight="1" x14ac:dyDescent="0.35">
      <c r="C79" s="145"/>
      <c r="D79" s="145"/>
      <c r="E79" s="145"/>
      <c r="F79" s="1" t="s">
        <v>105</v>
      </c>
      <c r="G79" s="81" t="s">
        <v>42</v>
      </c>
      <c r="H79" s="99">
        <v>40</v>
      </c>
      <c r="I79" s="78">
        <f t="shared" si="9"/>
        <v>2600</v>
      </c>
      <c r="J79" s="78">
        <f t="shared" si="8"/>
        <v>6240</v>
      </c>
      <c r="K79" s="81">
        <v>2400</v>
      </c>
      <c r="L79" s="55">
        <f>(IF(G79="",0,IFERROR(VLOOKUP(G79, 'Materials Unit Costs'!$C$10:$F$79, 4, FALSE) * I79, "")))/1000000</f>
        <v>0.52</v>
      </c>
      <c r="M79" s="142"/>
    </row>
    <row r="80" spans="3:13" ht="14.5" customHeight="1" x14ac:dyDescent="0.35">
      <c r="C80" s="145"/>
      <c r="D80" s="145"/>
      <c r="E80" s="145"/>
      <c r="F80" s="1" t="s">
        <v>106</v>
      </c>
      <c r="G80" s="81" t="s">
        <v>146</v>
      </c>
      <c r="H80" s="99">
        <v>10</v>
      </c>
      <c r="I80" s="78">
        <f>$D$68*$E$68*1000</f>
        <v>65000</v>
      </c>
      <c r="J80" s="78">
        <f>I80*K80*(H80/1000)/1000</f>
        <v>1170</v>
      </c>
      <c r="K80" s="81">
        <v>1800</v>
      </c>
      <c r="L80" s="55">
        <f>(IF(G80="",0,IFERROR(VLOOKUP(G80, 'Materials Unit Costs'!$C$10:$F$79, 4, FALSE) * I80, "")))/1000000</f>
        <v>0.26</v>
      </c>
      <c r="M80" s="142"/>
    </row>
    <row r="81" spans="3:13" ht="14.5" customHeight="1" x14ac:dyDescent="0.35">
      <c r="C81" s="145"/>
      <c r="D81" s="145"/>
      <c r="E81" s="145"/>
      <c r="F81" s="1" t="s">
        <v>184</v>
      </c>
      <c r="G81" s="81"/>
      <c r="H81" s="99"/>
      <c r="I81" s="78">
        <f t="shared" si="9"/>
        <v>0</v>
      </c>
      <c r="J81" s="78">
        <f>I81*K81/1000</f>
        <v>0</v>
      </c>
      <c r="K81" s="81">
        <v>2400</v>
      </c>
      <c r="L81" s="55">
        <f>(IF(G81="",0,IFERROR(VLOOKUP(G81, 'Materials Unit Costs'!$C$10:$F$79, 4, FALSE) * I81, "")))/1000000</f>
        <v>0</v>
      </c>
      <c r="M81" s="142"/>
    </row>
    <row r="82" spans="3:13" ht="14.5" customHeight="1" x14ac:dyDescent="0.35">
      <c r="C82" s="145"/>
      <c r="D82" s="145"/>
      <c r="E82" s="145"/>
      <c r="F82" s="1" t="s">
        <v>185</v>
      </c>
      <c r="G82" s="81" t="s">
        <v>146</v>
      </c>
      <c r="H82" s="99">
        <v>10</v>
      </c>
      <c r="I82" s="78">
        <f>$D$68*$E$68*1000</f>
        <v>65000</v>
      </c>
      <c r="J82" s="78">
        <f>I82*K82*(H82/1000)/1000</f>
        <v>1170</v>
      </c>
      <c r="K82" s="81">
        <v>1800</v>
      </c>
      <c r="L82" s="55">
        <f>(IF(G82="",0,IFERROR(VLOOKUP(G82, 'Materials Unit Costs'!$C$10:$F$79, 4, FALSE) * I82, "")))/1000000</f>
        <v>0.26</v>
      </c>
      <c r="M82" s="142"/>
    </row>
    <row r="83" spans="3:13" ht="14.5" customHeight="1" x14ac:dyDescent="0.35">
      <c r="C83" s="145"/>
      <c r="D83" s="145"/>
      <c r="E83" s="145"/>
      <c r="F83" s="1" t="s">
        <v>188</v>
      </c>
      <c r="G83" s="81"/>
      <c r="H83" s="99">
        <v>1</v>
      </c>
      <c r="I83" s="78">
        <f>$D$68*$E$68</f>
        <v>65</v>
      </c>
      <c r="J83" s="78">
        <f t="shared" si="8"/>
        <v>65</v>
      </c>
      <c r="K83" s="81">
        <v>1000</v>
      </c>
      <c r="L83" s="55">
        <f>(IF(G83="",0,IFERROR(VLOOKUP(G83, 'Materials Unit Costs'!$C$10:$F$79, 4, FALSE) * I83, "")))*1000/1000000</f>
        <v>0</v>
      </c>
      <c r="M83" s="142"/>
    </row>
    <row r="84" spans="3:13" ht="14.5" customHeight="1" x14ac:dyDescent="0.35">
      <c r="C84" s="145"/>
      <c r="D84" s="145"/>
      <c r="E84" s="145"/>
      <c r="F84" s="1" t="s">
        <v>189</v>
      </c>
      <c r="G84" s="81"/>
      <c r="H84" s="99">
        <v>1</v>
      </c>
      <c r="I84" s="78">
        <f>$D$68*$E$68</f>
        <v>65</v>
      </c>
      <c r="J84" s="78">
        <f t="shared" si="8"/>
        <v>65</v>
      </c>
      <c r="K84" s="81">
        <v>1000</v>
      </c>
      <c r="L84" s="55">
        <f>(IF(G84="",0,IFERROR(VLOOKUP(G84, 'Materials Unit Costs'!$C$10:$F$79, 4, FALSE) * I84, "")))*1000/1000000</f>
        <v>0</v>
      </c>
      <c r="M84" s="142"/>
    </row>
    <row r="85" spans="3:13" ht="14.5" customHeight="1" x14ac:dyDescent="0.35">
      <c r="C85" s="145"/>
      <c r="D85" s="145"/>
      <c r="E85" s="145"/>
      <c r="F85" s="1" t="s">
        <v>195</v>
      </c>
      <c r="G85" s="81"/>
      <c r="H85" s="99">
        <v>1</v>
      </c>
      <c r="I85" s="78">
        <f>$D$68*$E$68</f>
        <v>65</v>
      </c>
      <c r="J85" s="78">
        <f t="shared" si="8"/>
        <v>65</v>
      </c>
      <c r="K85" s="81">
        <v>1000</v>
      </c>
      <c r="L85" s="55">
        <f>(IF(G85="",0,IFERROR(VLOOKUP(G85, 'Materials Unit Costs'!$C$10:$F$79, 4, FALSE) * I85, "")))*1000/1000000</f>
        <v>0</v>
      </c>
      <c r="M85" s="142"/>
    </row>
    <row r="86" spans="3:13" ht="14.5" customHeight="1" x14ac:dyDescent="0.35">
      <c r="C86" s="145"/>
      <c r="D86" s="145"/>
      <c r="E86" s="145"/>
      <c r="F86" s="1" t="s">
        <v>186</v>
      </c>
      <c r="G86" s="81"/>
      <c r="H86" s="99"/>
      <c r="I86" s="78">
        <f>$D$68*$E$68*H86</f>
        <v>0</v>
      </c>
      <c r="J86" s="78">
        <f t="shared" ref="J86" si="10">I86*K86/1000</f>
        <v>0</v>
      </c>
      <c r="K86" s="81">
        <v>2400</v>
      </c>
      <c r="L86" s="55">
        <f>(IF(G86="",0,IFERROR(VLOOKUP(G86, 'Materials Unit Costs'!$C$10:$F$79, 4, FALSE) * I86, "")))/1000000</f>
        <v>0</v>
      </c>
      <c r="M86" s="142"/>
    </row>
    <row r="87" spans="3:13" ht="14.5" customHeight="1" x14ac:dyDescent="0.35">
      <c r="C87" s="146"/>
      <c r="D87" s="146"/>
      <c r="E87" s="146"/>
      <c r="F87" s="1" t="s">
        <v>187</v>
      </c>
      <c r="G87" s="81"/>
      <c r="H87" s="99"/>
      <c r="I87" s="78"/>
      <c r="J87" s="78"/>
      <c r="K87" s="81">
        <v>7750</v>
      </c>
      <c r="L87" s="55">
        <f>(IF(G87="",0,IFERROR(VLOOKUP(G87, 'Materials Unit Costs'!$C$10:$F$79, 4, FALSE) * J87, "")))/1000000</f>
        <v>0</v>
      </c>
      <c r="M87" s="143"/>
    </row>
    <row r="88" spans="3:13" ht="14.5" customHeight="1" x14ac:dyDescent="0.35">
      <c r="C88" s="144">
        <v>2</v>
      </c>
      <c r="D88" s="144">
        <v>3.5</v>
      </c>
      <c r="E88" s="144">
        <v>10</v>
      </c>
      <c r="F88" s="1" t="s">
        <v>159</v>
      </c>
      <c r="G88" s="98"/>
      <c r="H88" s="99"/>
      <c r="I88" s="78"/>
      <c r="J88" s="79"/>
      <c r="K88" s="80"/>
      <c r="L88" s="41">
        <f>('Materials Unit Costs'!$F$5*'Pavement Options'!I88)/1000000</f>
        <v>0</v>
      </c>
      <c r="M88" s="141">
        <f>SUM(L88:L107)</f>
        <v>1.32552</v>
      </c>
    </row>
    <row r="89" spans="3:13" ht="14.5" customHeight="1" x14ac:dyDescent="0.35">
      <c r="C89" s="145"/>
      <c r="D89" s="145"/>
      <c r="E89" s="145"/>
      <c r="F89" s="1" t="s">
        <v>68</v>
      </c>
      <c r="G89" s="98"/>
      <c r="H89" s="99">
        <v>200</v>
      </c>
      <c r="I89" s="78">
        <f>$D$88*$E$88*H89</f>
        <v>7000</v>
      </c>
      <c r="J89" s="79"/>
      <c r="K89" s="81">
        <v>2100</v>
      </c>
      <c r="L89" s="41">
        <f>('Materials Unit Costs'!$F$6*'Pavement Options'!I89)/1000000</f>
        <v>3.4020000000000002E-2</v>
      </c>
      <c r="M89" s="142"/>
    </row>
    <row r="90" spans="3:13" ht="14.5" customHeight="1" x14ac:dyDescent="0.35">
      <c r="C90" s="145"/>
      <c r="D90" s="145"/>
      <c r="E90" s="145"/>
      <c r="F90" s="1" t="s">
        <v>204</v>
      </c>
      <c r="G90" s="98"/>
      <c r="H90" s="99">
        <v>300</v>
      </c>
      <c r="I90" s="78">
        <f>$D$88*$E$88*H90</f>
        <v>10500</v>
      </c>
      <c r="J90" s="78">
        <f>I90*K90/1000</f>
        <v>22050</v>
      </c>
      <c r="K90" s="81">
        <v>2100</v>
      </c>
      <c r="L90" s="41">
        <f>('Materials Unit Costs'!$F$7*'Pavement Options'!I90)/1000000</f>
        <v>3.6749999999999998E-2</v>
      </c>
      <c r="M90" s="142"/>
    </row>
    <row r="91" spans="3:13" ht="14.5" customHeight="1" x14ac:dyDescent="0.35">
      <c r="C91" s="145"/>
      <c r="D91" s="145"/>
      <c r="E91" s="145"/>
      <c r="F91" s="1" t="s">
        <v>160</v>
      </c>
      <c r="G91" s="98"/>
      <c r="H91" s="99"/>
      <c r="I91" s="79"/>
      <c r="J91" s="78"/>
      <c r="K91" s="80"/>
      <c r="L91" s="41">
        <f>('Materials Unit Costs'!$F$8*'Pavement Options'!J91)/1000000</f>
        <v>0</v>
      </c>
      <c r="M91" s="142"/>
    </row>
    <row r="92" spans="3:13" ht="14.5" customHeight="1" x14ac:dyDescent="0.35">
      <c r="C92" s="145"/>
      <c r="D92" s="145"/>
      <c r="E92" s="145"/>
      <c r="F92" s="1" t="s">
        <v>112</v>
      </c>
      <c r="G92" s="81" t="s">
        <v>118</v>
      </c>
      <c r="H92" s="99">
        <v>200</v>
      </c>
      <c r="I92" s="78">
        <f>$D$88*$E$88*H92</f>
        <v>7000</v>
      </c>
      <c r="J92" s="78">
        <f t="shared" si="8"/>
        <v>14000</v>
      </c>
      <c r="K92" s="81">
        <v>2000</v>
      </c>
      <c r="L92" s="55">
        <f>(IF(G92="",0,IFERROR(VLOOKUP(G92, 'Materials Unit Costs'!$C$10:$F$79, 4, FALSE) * I92, "")))/1000000</f>
        <v>4.9000000000000002E-2</v>
      </c>
      <c r="M92" s="142"/>
    </row>
    <row r="93" spans="3:13" ht="14.5" customHeight="1" x14ac:dyDescent="0.35">
      <c r="C93" s="145"/>
      <c r="D93" s="145"/>
      <c r="E93" s="145"/>
      <c r="F93" s="1" t="s">
        <v>111</v>
      </c>
      <c r="G93" s="81"/>
      <c r="H93" s="99">
        <v>0</v>
      </c>
      <c r="I93" s="78">
        <f t="shared" ref="I93:I101" si="11">$D$88*$E$88*H93</f>
        <v>0</v>
      </c>
      <c r="J93" s="78">
        <f t="shared" si="8"/>
        <v>0</v>
      </c>
      <c r="K93" s="81">
        <v>1800</v>
      </c>
      <c r="L93" s="55">
        <f>(IF(G93="",0,IFERROR(VLOOKUP(G93, 'Materials Unit Costs'!$C$10:$F$79, 4, FALSE) * I93, "")))/1000000</f>
        <v>0</v>
      </c>
      <c r="M93" s="142"/>
    </row>
    <row r="94" spans="3:13" ht="14.5" customHeight="1" x14ac:dyDescent="0.35">
      <c r="C94" s="145"/>
      <c r="D94" s="145"/>
      <c r="E94" s="145"/>
      <c r="F94" s="1" t="s">
        <v>100</v>
      </c>
      <c r="G94" s="81" t="s">
        <v>40</v>
      </c>
      <c r="H94" s="99">
        <v>150</v>
      </c>
      <c r="I94" s="78">
        <f t="shared" si="11"/>
        <v>5250</v>
      </c>
      <c r="J94" s="78">
        <f t="shared" si="8"/>
        <v>9450</v>
      </c>
      <c r="K94" s="81">
        <v>1800</v>
      </c>
      <c r="L94" s="55">
        <f>(IF(G94="",0,IFERROR(VLOOKUP(G94, 'Materials Unit Costs'!$C$10:$F$79, 4, FALSE) * I94, "")))/1000000</f>
        <v>6.8250000000000005E-2</v>
      </c>
      <c r="M94" s="142"/>
    </row>
    <row r="95" spans="3:13" ht="14.5" customHeight="1" x14ac:dyDescent="0.35">
      <c r="C95" s="145"/>
      <c r="D95" s="145"/>
      <c r="E95" s="145"/>
      <c r="F95" s="1" t="s">
        <v>101</v>
      </c>
      <c r="G95" s="81"/>
      <c r="H95" s="99"/>
      <c r="I95" s="78">
        <f t="shared" si="11"/>
        <v>0</v>
      </c>
      <c r="J95" s="78">
        <f t="shared" si="8"/>
        <v>0</v>
      </c>
      <c r="K95" s="81">
        <v>1800</v>
      </c>
      <c r="L95" s="55">
        <f>(IF(G95="",0,IFERROR(VLOOKUP(G95, 'Materials Unit Costs'!$C$10:$F$79, 4, FALSE) * I95, "")))/1000000</f>
        <v>0</v>
      </c>
      <c r="M95" s="142"/>
    </row>
    <row r="96" spans="3:13" ht="14.5" customHeight="1" x14ac:dyDescent="0.35">
      <c r="C96" s="145"/>
      <c r="D96" s="145"/>
      <c r="E96" s="145"/>
      <c r="F96" s="1" t="s">
        <v>103</v>
      </c>
      <c r="G96" s="81" t="s">
        <v>34</v>
      </c>
      <c r="H96" s="99">
        <v>150</v>
      </c>
      <c r="I96" s="78">
        <f t="shared" si="11"/>
        <v>5250</v>
      </c>
      <c r="J96" s="78">
        <f t="shared" si="8"/>
        <v>8925</v>
      </c>
      <c r="K96" s="81">
        <v>1700</v>
      </c>
      <c r="L96" s="55">
        <f>(IF(G96="",0,IFERROR(VLOOKUP(G96, 'Materials Unit Costs'!$C$10:$F$79, 4, FALSE) * I96, "")))/1000000</f>
        <v>0.19950000000000001</v>
      </c>
      <c r="M96" s="142"/>
    </row>
    <row r="97" spans="3:13" ht="14.5" customHeight="1" x14ac:dyDescent="0.35">
      <c r="C97" s="145"/>
      <c r="D97" s="145"/>
      <c r="E97" s="145"/>
      <c r="F97" s="1" t="s">
        <v>102</v>
      </c>
      <c r="G97" s="81"/>
      <c r="H97" s="99"/>
      <c r="I97" s="78">
        <f t="shared" si="11"/>
        <v>0</v>
      </c>
      <c r="J97" s="78">
        <f t="shared" si="8"/>
        <v>0</v>
      </c>
      <c r="K97" s="81">
        <v>1700</v>
      </c>
      <c r="L97" s="55">
        <f>(IF(G97="",0,IFERROR(VLOOKUP(G97, 'Materials Unit Costs'!$C$10:$F$79, 4, FALSE) * I97, "")))/1000000</f>
        <v>0</v>
      </c>
      <c r="M97" s="142"/>
    </row>
    <row r="98" spans="3:13" ht="14.5" customHeight="1" x14ac:dyDescent="0.35">
      <c r="C98" s="145"/>
      <c r="D98" s="145"/>
      <c r="E98" s="145"/>
      <c r="F98" s="1" t="s">
        <v>104</v>
      </c>
      <c r="G98" s="81" t="s">
        <v>44</v>
      </c>
      <c r="H98" s="99">
        <v>60</v>
      </c>
      <c r="I98" s="78">
        <f t="shared" si="11"/>
        <v>2100</v>
      </c>
      <c r="J98" s="78">
        <f t="shared" si="8"/>
        <v>5040</v>
      </c>
      <c r="K98" s="81">
        <v>2400</v>
      </c>
      <c r="L98" s="55">
        <f>(IF(G98="",0,IFERROR(VLOOKUP(G98, 'Materials Unit Costs'!$C$10:$F$79, 4, FALSE) * I98, "")))/1000000</f>
        <v>0.378</v>
      </c>
      <c r="M98" s="142"/>
    </row>
    <row r="99" spans="3:13" ht="14.5" customHeight="1" x14ac:dyDescent="0.35">
      <c r="C99" s="145"/>
      <c r="D99" s="145"/>
      <c r="E99" s="145"/>
      <c r="F99" s="1" t="s">
        <v>105</v>
      </c>
      <c r="G99" s="81" t="s">
        <v>42</v>
      </c>
      <c r="H99" s="99">
        <v>40</v>
      </c>
      <c r="I99" s="78">
        <f t="shared" si="11"/>
        <v>1400</v>
      </c>
      <c r="J99" s="78">
        <f t="shared" si="8"/>
        <v>3360</v>
      </c>
      <c r="K99" s="81">
        <v>2400</v>
      </c>
      <c r="L99" s="55">
        <f>(IF(G99="",0,IFERROR(VLOOKUP(G99, 'Materials Unit Costs'!$C$10:$F$79, 4, FALSE) * I99, "")))/1000000</f>
        <v>0.28000000000000003</v>
      </c>
      <c r="M99" s="142"/>
    </row>
    <row r="100" spans="3:13" ht="14.5" customHeight="1" x14ac:dyDescent="0.35">
      <c r="C100" s="145"/>
      <c r="D100" s="145"/>
      <c r="E100" s="145"/>
      <c r="F100" s="1" t="s">
        <v>106</v>
      </c>
      <c r="G100" s="81" t="s">
        <v>146</v>
      </c>
      <c r="H100" s="99">
        <v>10</v>
      </c>
      <c r="I100" s="78">
        <f>$D$88*$E$88*1000</f>
        <v>35000</v>
      </c>
      <c r="J100" s="78">
        <f>I100*K100*(H100/1000)/1000</f>
        <v>630</v>
      </c>
      <c r="K100" s="81">
        <v>1800</v>
      </c>
      <c r="L100" s="55">
        <f>(IF(G100="",0,IFERROR(VLOOKUP(G100, 'Materials Unit Costs'!$C$10:$F$79, 4, FALSE) * I100, "")))/1000000</f>
        <v>0.14000000000000001</v>
      </c>
      <c r="M100" s="142"/>
    </row>
    <row r="101" spans="3:13" ht="14.5" customHeight="1" x14ac:dyDescent="0.35">
      <c r="C101" s="145"/>
      <c r="D101" s="145"/>
      <c r="E101" s="145"/>
      <c r="F101" s="1" t="s">
        <v>184</v>
      </c>
      <c r="G101" s="81"/>
      <c r="H101" s="99"/>
      <c r="I101" s="78">
        <f t="shared" si="11"/>
        <v>0</v>
      </c>
      <c r="J101" s="78">
        <f>I101*K101/1000</f>
        <v>0</v>
      </c>
      <c r="K101" s="81">
        <v>2400</v>
      </c>
      <c r="L101" s="55">
        <f>(IF(G101="",0,IFERROR(VLOOKUP(G101, 'Materials Unit Costs'!$C$10:$F$79, 4, FALSE) * I101, "")))/1000000</f>
        <v>0</v>
      </c>
      <c r="M101" s="142"/>
    </row>
    <row r="102" spans="3:13" ht="14.5" customHeight="1" x14ac:dyDescent="0.35">
      <c r="C102" s="145"/>
      <c r="D102" s="145"/>
      <c r="E102" s="145"/>
      <c r="F102" s="1" t="s">
        <v>185</v>
      </c>
      <c r="G102" s="81" t="s">
        <v>146</v>
      </c>
      <c r="H102" s="99">
        <v>10</v>
      </c>
      <c r="I102" s="78">
        <f>$D$88*$E$88*1000</f>
        <v>35000</v>
      </c>
      <c r="J102" s="78">
        <f>I102*K102*(H102/1000)/1000</f>
        <v>630</v>
      </c>
      <c r="K102" s="81">
        <v>1800</v>
      </c>
      <c r="L102" s="55">
        <f>(IF(G102="",0,IFERROR(VLOOKUP(G102, 'Materials Unit Costs'!$C$10:$F$79, 4, FALSE) * I102, "")))/1000000</f>
        <v>0.14000000000000001</v>
      </c>
      <c r="M102" s="142"/>
    </row>
    <row r="103" spans="3:13" ht="14.5" customHeight="1" x14ac:dyDescent="0.35">
      <c r="C103" s="145"/>
      <c r="D103" s="145"/>
      <c r="E103" s="145"/>
      <c r="F103" s="1" t="s">
        <v>188</v>
      </c>
      <c r="G103" s="81"/>
      <c r="H103" s="99">
        <v>1</v>
      </c>
      <c r="I103" s="78">
        <f>$D$88*$E$88</f>
        <v>35</v>
      </c>
      <c r="J103" s="78">
        <f t="shared" ref="J103:J105" si="12">I103*K103/1000</f>
        <v>35</v>
      </c>
      <c r="K103" s="81">
        <v>1000</v>
      </c>
      <c r="L103" s="55">
        <f>(IF(G103="",0,IFERROR(VLOOKUP(G103, 'Materials Unit Costs'!$C$10:$F$79, 4, FALSE) * I103, "")))*1000/1000000</f>
        <v>0</v>
      </c>
      <c r="M103" s="142"/>
    </row>
    <row r="104" spans="3:13" ht="14.5" customHeight="1" x14ac:dyDescent="0.35">
      <c r="C104" s="145"/>
      <c r="D104" s="145"/>
      <c r="E104" s="145"/>
      <c r="F104" s="1" t="s">
        <v>189</v>
      </c>
      <c r="G104" s="81"/>
      <c r="H104" s="99">
        <v>1</v>
      </c>
      <c r="I104" s="78">
        <f>$D$88*$E$88</f>
        <v>35</v>
      </c>
      <c r="J104" s="78">
        <f t="shared" si="12"/>
        <v>35</v>
      </c>
      <c r="K104" s="81">
        <v>1000</v>
      </c>
      <c r="L104" s="55">
        <f>(IF(G104="",0,IFERROR(VLOOKUP(G104, 'Materials Unit Costs'!$C$10:$F$79, 4, FALSE) * I104, "")))*1000/1000000</f>
        <v>0</v>
      </c>
      <c r="M104" s="142"/>
    </row>
    <row r="105" spans="3:13" ht="14.5" customHeight="1" x14ac:dyDescent="0.35">
      <c r="C105" s="145"/>
      <c r="D105" s="145"/>
      <c r="E105" s="145"/>
      <c r="F105" s="1" t="s">
        <v>195</v>
      </c>
      <c r="G105" s="81"/>
      <c r="H105" s="99">
        <v>1</v>
      </c>
      <c r="I105" s="78">
        <f>$D$88*$E$88</f>
        <v>35</v>
      </c>
      <c r="J105" s="78">
        <f t="shared" si="12"/>
        <v>35</v>
      </c>
      <c r="K105" s="81">
        <v>1000</v>
      </c>
      <c r="L105" s="55">
        <f>(IF(G105="",0,IFERROR(VLOOKUP(G105, 'Materials Unit Costs'!$C$10:$F$79, 4, FALSE) * I105, "")))*1000/1000000</f>
        <v>0</v>
      </c>
      <c r="M105" s="142"/>
    </row>
    <row r="106" spans="3:13" ht="14.5" customHeight="1" x14ac:dyDescent="0.35">
      <c r="C106" s="145"/>
      <c r="D106" s="145"/>
      <c r="E106" s="145"/>
      <c r="F106" s="1" t="s">
        <v>186</v>
      </c>
      <c r="G106" s="81"/>
      <c r="H106" s="99"/>
      <c r="I106" s="78">
        <f>$D$88*$E$88*H106</f>
        <v>0</v>
      </c>
      <c r="J106" s="78">
        <f t="shared" ref="J106" si="13">I106*K106/1000</f>
        <v>0</v>
      </c>
      <c r="K106" s="81">
        <v>2400</v>
      </c>
      <c r="L106" s="55">
        <f>(IF(G106="",0,IFERROR(VLOOKUP(G106, 'Materials Unit Costs'!$C$10:$F$79, 4, FALSE) * I106, "")))/1000000</f>
        <v>0</v>
      </c>
      <c r="M106" s="142"/>
    </row>
    <row r="107" spans="3:13" ht="14.5" customHeight="1" x14ac:dyDescent="0.35">
      <c r="C107" s="146"/>
      <c r="D107" s="146"/>
      <c r="E107" s="146"/>
      <c r="F107" s="1" t="s">
        <v>187</v>
      </c>
      <c r="G107" s="81"/>
      <c r="H107" s="99"/>
      <c r="I107" s="78"/>
      <c r="J107" s="78"/>
      <c r="K107" s="81">
        <v>7750</v>
      </c>
      <c r="L107" s="55">
        <f>(IF(G107="",0,IFERROR(VLOOKUP(G107, 'Materials Unit Costs'!$C$10:$F$79, 4, FALSE) * J107, "")))/1000000</f>
        <v>0</v>
      </c>
      <c r="M107" s="143"/>
    </row>
    <row r="108" spans="3:13" ht="14.5" customHeight="1" x14ac:dyDescent="0.35">
      <c r="C108" s="144">
        <v>3</v>
      </c>
      <c r="D108" s="144">
        <v>6</v>
      </c>
      <c r="E108" s="144">
        <v>10</v>
      </c>
      <c r="F108" s="1" t="s">
        <v>159</v>
      </c>
      <c r="G108" s="98"/>
      <c r="H108" s="99"/>
      <c r="I108" s="78"/>
      <c r="J108" s="79"/>
      <c r="K108" s="80"/>
      <c r="L108" s="41">
        <f>('Materials Unit Costs'!$F$5*'Pavement Options'!I108)/1000000</f>
        <v>0</v>
      </c>
      <c r="M108" s="141">
        <f>SUM(L108:L127)</f>
        <v>2.3563200000000002</v>
      </c>
    </row>
    <row r="109" spans="3:13" ht="14.5" customHeight="1" x14ac:dyDescent="0.35">
      <c r="C109" s="145"/>
      <c r="D109" s="145"/>
      <c r="E109" s="145"/>
      <c r="F109" s="1" t="s">
        <v>68</v>
      </c>
      <c r="G109" s="98"/>
      <c r="H109" s="99">
        <v>200</v>
      </c>
      <c r="I109" s="78">
        <f>$D$108*$E$108*H109</f>
        <v>12000</v>
      </c>
      <c r="J109" s="79"/>
      <c r="K109" s="81">
        <v>2100</v>
      </c>
      <c r="L109" s="41">
        <f>('Materials Unit Costs'!$F$6*'Pavement Options'!I109)/1000000</f>
        <v>5.8320000000000011E-2</v>
      </c>
      <c r="M109" s="142"/>
    </row>
    <row r="110" spans="3:13" ht="14.5" customHeight="1" x14ac:dyDescent="0.35">
      <c r="C110" s="145"/>
      <c r="D110" s="145"/>
      <c r="E110" s="145"/>
      <c r="F110" s="1" t="s">
        <v>204</v>
      </c>
      <c r="G110" s="98"/>
      <c r="H110" s="99">
        <v>300</v>
      </c>
      <c r="I110" s="78">
        <f>$D$108*$E$108*H110</f>
        <v>18000</v>
      </c>
      <c r="J110" s="78">
        <f>I110*K110/1000</f>
        <v>37800</v>
      </c>
      <c r="K110" s="81">
        <v>2100</v>
      </c>
      <c r="L110" s="41">
        <f>('Materials Unit Costs'!$F$7*'Pavement Options'!I110)/1000000</f>
        <v>6.3E-2</v>
      </c>
      <c r="M110" s="142"/>
    </row>
    <row r="111" spans="3:13" ht="14.5" customHeight="1" x14ac:dyDescent="0.35">
      <c r="C111" s="145"/>
      <c r="D111" s="145"/>
      <c r="E111" s="145"/>
      <c r="F111" s="1" t="s">
        <v>160</v>
      </c>
      <c r="G111" s="98"/>
      <c r="H111" s="99"/>
      <c r="I111" s="79"/>
      <c r="J111" s="78"/>
      <c r="K111" s="80"/>
      <c r="L111" s="41">
        <f>('Materials Unit Costs'!$F$8*'Pavement Options'!J111)/1000000</f>
        <v>0</v>
      </c>
      <c r="M111" s="142"/>
    </row>
    <row r="112" spans="3:13" ht="14.5" customHeight="1" x14ac:dyDescent="0.35">
      <c r="C112" s="145"/>
      <c r="D112" s="145"/>
      <c r="E112" s="145"/>
      <c r="F112" s="1" t="s">
        <v>112</v>
      </c>
      <c r="G112" s="81" t="s">
        <v>118</v>
      </c>
      <c r="H112" s="99">
        <v>400</v>
      </c>
      <c r="I112" s="78">
        <f t="shared" ref="I112:I121" si="14">$D$108*$E$108*H112</f>
        <v>24000</v>
      </c>
      <c r="J112" s="78">
        <f t="shared" si="8"/>
        <v>48000</v>
      </c>
      <c r="K112" s="81">
        <v>2000</v>
      </c>
      <c r="L112" s="55">
        <f>(IF(G112="",0,IFERROR(VLOOKUP(G112, 'Materials Unit Costs'!$C$10:$F$79, 4, FALSE) * I112, "")))/1000000</f>
        <v>0.16800000000000001</v>
      </c>
      <c r="M112" s="142"/>
    </row>
    <row r="113" spans="3:13" ht="14.5" customHeight="1" x14ac:dyDescent="0.35">
      <c r="C113" s="145"/>
      <c r="D113" s="145"/>
      <c r="E113" s="145"/>
      <c r="F113" s="1" t="s">
        <v>111</v>
      </c>
      <c r="G113" s="81"/>
      <c r="H113" s="99">
        <v>0</v>
      </c>
      <c r="I113" s="78">
        <f t="shared" si="14"/>
        <v>0</v>
      </c>
      <c r="J113" s="78">
        <f t="shared" si="8"/>
        <v>0</v>
      </c>
      <c r="K113" s="81">
        <v>1800</v>
      </c>
      <c r="L113" s="55">
        <f>(IF(G113="",0,IFERROR(VLOOKUP(G113, 'Materials Unit Costs'!$C$10:$F$79, 4, FALSE) * I113, "")))/1000000</f>
        <v>0</v>
      </c>
      <c r="M113" s="142"/>
    </row>
    <row r="114" spans="3:13" ht="14.5" customHeight="1" x14ac:dyDescent="0.35">
      <c r="C114" s="145"/>
      <c r="D114" s="145"/>
      <c r="E114" s="145"/>
      <c r="F114" s="1" t="s">
        <v>100</v>
      </c>
      <c r="G114" s="81" t="s">
        <v>40</v>
      </c>
      <c r="H114" s="99">
        <v>150</v>
      </c>
      <c r="I114" s="78">
        <f t="shared" si="14"/>
        <v>9000</v>
      </c>
      <c r="J114" s="78">
        <f t="shared" si="8"/>
        <v>16200</v>
      </c>
      <c r="K114" s="81">
        <v>1800</v>
      </c>
      <c r="L114" s="55">
        <f>(IF(G114="",0,IFERROR(VLOOKUP(G114, 'Materials Unit Costs'!$C$10:$F$79, 4, FALSE) * I114, "")))/1000000</f>
        <v>0.11700000000000001</v>
      </c>
      <c r="M114" s="142"/>
    </row>
    <row r="115" spans="3:13" ht="14.5" customHeight="1" x14ac:dyDescent="0.35">
      <c r="C115" s="145"/>
      <c r="D115" s="145"/>
      <c r="E115" s="145"/>
      <c r="F115" s="1" t="s">
        <v>101</v>
      </c>
      <c r="G115" s="81"/>
      <c r="H115" s="99"/>
      <c r="I115" s="78">
        <f t="shared" si="14"/>
        <v>0</v>
      </c>
      <c r="J115" s="78">
        <f t="shared" si="8"/>
        <v>0</v>
      </c>
      <c r="K115" s="81">
        <v>1800</v>
      </c>
      <c r="L115" s="55">
        <f>(IF(G115="",0,IFERROR(VLOOKUP(G115, 'Materials Unit Costs'!$C$10:$F$79, 4, FALSE) * I115, "")))/1000000</f>
        <v>0</v>
      </c>
      <c r="M115" s="142"/>
    </row>
    <row r="116" spans="3:13" ht="14.5" customHeight="1" x14ac:dyDescent="0.35">
      <c r="C116" s="145"/>
      <c r="D116" s="145"/>
      <c r="E116" s="145"/>
      <c r="F116" s="1" t="s">
        <v>103</v>
      </c>
      <c r="G116" s="81" t="s">
        <v>34</v>
      </c>
      <c r="H116" s="99">
        <v>150</v>
      </c>
      <c r="I116" s="78">
        <f t="shared" si="14"/>
        <v>9000</v>
      </c>
      <c r="J116" s="78">
        <f t="shared" si="8"/>
        <v>15300</v>
      </c>
      <c r="K116" s="81">
        <v>1700</v>
      </c>
      <c r="L116" s="55">
        <f>(IF(G116="",0,IFERROR(VLOOKUP(G116, 'Materials Unit Costs'!$C$10:$F$79, 4, FALSE) * I116, "")))/1000000</f>
        <v>0.34200000000000003</v>
      </c>
      <c r="M116" s="142"/>
    </row>
    <row r="117" spans="3:13" ht="14.5" customHeight="1" x14ac:dyDescent="0.35">
      <c r="C117" s="145"/>
      <c r="D117" s="145"/>
      <c r="E117" s="145"/>
      <c r="F117" s="1" t="s">
        <v>102</v>
      </c>
      <c r="G117" s="81"/>
      <c r="H117" s="99"/>
      <c r="I117" s="78">
        <f t="shared" si="14"/>
        <v>0</v>
      </c>
      <c r="J117" s="78">
        <f t="shared" si="8"/>
        <v>0</v>
      </c>
      <c r="K117" s="81">
        <v>1700</v>
      </c>
      <c r="L117" s="55">
        <f>(IF(G117="",0,IFERROR(VLOOKUP(G117, 'Materials Unit Costs'!$C$10:$F$79, 4, FALSE) * I117, "")))/1000000</f>
        <v>0</v>
      </c>
      <c r="M117" s="142"/>
    </row>
    <row r="118" spans="3:13" ht="14.5" customHeight="1" x14ac:dyDescent="0.35">
      <c r="C118" s="145"/>
      <c r="D118" s="145"/>
      <c r="E118" s="145"/>
      <c r="F118" s="1" t="s">
        <v>104</v>
      </c>
      <c r="G118" s="81" t="s">
        <v>44</v>
      </c>
      <c r="H118" s="99">
        <v>60</v>
      </c>
      <c r="I118" s="78">
        <f t="shared" si="14"/>
        <v>3600</v>
      </c>
      <c r="J118" s="78">
        <f t="shared" si="8"/>
        <v>8640</v>
      </c>
      <c r="K118" s="81">
        <v>2400</v>
      </c>
      <c r="L118" s="55">
        <f>(IF(G118="",0,IFERROR(VLOOKUP(G118, 'Materials Unit Costs'!$C$10:$F$79, 4, FALSE) * I118, "")))/1000000</f>
        <v>0.64800000000000002</v>
      </c>
      <c r="M118" s="142"/>
    </row>
    <row r="119" spans="3:13" ht="14.5" customHeight="1" x14ac:dyDescent="0.35">
      <c r="C119" s="145"/>
      <c r="D119" s="145"/>
      <c r="E119" s="145"/>
      <c r="F119" s="1" t="s">
        <v>105</v>
      </c>
      <c r="G119" s="81" t="s">
        <v>42</v>
      </c>
      <c r="H119" s="99">
        <v>40</v>
      </c>
      <c r="I119" s="78">
        <f t="shared" si="14"/>
        <v>2400</v>
      </c>
      <c r="J119" s="78">
        <f t="shared" si="8"/>
        <v>5760</v>
      </c>
      <c r="K119" s="81">
        <v>2400</v>
      </c>
      <c r="L119" s="55">
        <f>(IF(G119="",0,IFERROR(VLOOKUP(G119, 'Materials Unit Costs'!$C$10:$F$79, 4, FALSE) * I119, "")))/1000000</f>
        <v>0.48</v>
      </c>
      <c r="M119" s="142"/>
    </row>
    <row r="120" spans="3:13" ht="14.5" customHeight="1" x14ac:dyDescent="0.35">
      <c r="C120" s="145"/>
      <c r="D120" s="145"/>
      <c r="E120" s="145"/>
      <c r="F120" s="1" t="s">
        <v>106</v>
      </c>
      <c r="G120" s="81" t="s">
        <v>146</v>
      </c>
      <c r="H120" s="99">
        <v>10</v>
      </c>
      <c r="I120" s="78">
        <f>$D$108*$E$108*1000</f>
        <v>60000</v>
      </c>
      <c r="J120" s="78">
        <f>I120*K120*(H120/1000)/1000</f>
        <v>1080</v>
      </c>
      <c r="K120" s="81">
        <v>1800</v>
      </c>
      <c r="L120" s="55">
        <f>(IF(G120="",0,IFERROR(VLOOKUP(G120, 'Materials Unit Costs'!$C$10:$F$79, 4, FALSE) * I120, "")))/1000000</f>
        <v>0.24</v>
      </c>
      <c r="M120" s="142"/>
    </row>
    <row r="121" spans="3:13" ht="14.5" customHeight="1" x14ac:dyDescent="0.35">
      <c r="C121" s="145"/>
      <c r="D121" s="145"/>
      <c r="E121" s="145"/>
      <c r="F121" s="1" t="s">
        <v>184</v>
      </c>
      <c r="G121" s="81"/>
      <c r="H121" s="99"/>
      <c r="I121" s="78">
        <f t="shared" si="14"/>
        <v>0</v>
      </c>
      <c r="J121" s="78">
        <f>I121*K121/1000</f>
        <v>0</v>
      </c>
      <c r="K121" s="81">
        <v>2400</v>
      </c>
      <c r="L121" s="55">
        <f>(IF(G121="",0,IFERROR(VLOOKUP(G121, 'Materials Unit Costs'!$C$10:$F$79, 4, FALSE) * I121, "")))/1000000</f>
        <v>0</v>
      </c>
      <c r="M121" s="142"/>
    </row>
    <row r="122" spans="3:13" ht="14.5" customHeight="1" x14ac:dyDescent="0.35">
      <c r="C122" s="145"/>
      <c r="D122" s="145"/>
      <c r="E122" s="145"/>
      <c r="F122" s="1" t="s">
        <v>185</v>
      </c>
      <c r="G122" s="81" t="s">
        <v>146</v>
      </c>
      <c r="H122" s="99">
        <v>10</v>
      </c>
      <c r="I122" s="78">
        <f>$D$108*$E$108*1000</f>
        <v>60000</v>
      </c>
      <c r="J122" s="78">
        <f>I122*K122*(H122/1000)/1000</f>
        <v>1080</v>
      </c>
      <c r="K122" s="81">
        <v>1800</v>
      </c>
      <c r="L122" s="55">
        <f>(IF(G122="",0,IFERROR(VLOOKUP(G122, 'Materials Unit Costs'!$C$10:$F$79, 4, FALSE) * I122, "")))/1000000</f>
        <v>0.24</v>
      </c>
      <c r="M122" s="142"/>
    </row>
    <row r="123" spans="3:13" ht="14.5" customHeight="1" x14ac:dyDescent="0.35">
      <c r="C123" s="145"/>
      <c r="D123" s="145"/>
      <c r="E123" s="145"/>
      <c r="F123" s="1" t="s">
        <v>188</v>
      </c>
      <c r="G123" s="81"/>
      <c r="H123" s="99">
        <v>1</v>
      </c>
      <c r="I123" s="78">
        <f>$D$108*$E$108</f>
        <v>60</v>
      </c>
      <c r="J123" s="78">
        <f t="shared" si="8"/>
        <v>60</v>
      </c>
      <c r="K123" s="81">
        <v>1000</v>
      </c>
      <c r="L123" s="55">
        <f>(IF(G123="",0,IFERROR(VLOOKUP(G123, 'Materials Unit Costs'!$C$10:$F$79, 4, FALSE) * I123, "")))*1000/1000000</f>
        <v>0</v>
      </c>
      <c r="M123" s="142"/>
    </row>
    <row r="124" spans="3:13" ht="14.5" customHeight="1" x14ac:dyDescent="0.35">
      <c r="C124" s="145"/>
      <c r="D124" s="145"/>
      <c r="E124" s="145"/>
      <c r="F124" s="1" t="s">
        <v>189</v>
      </c>
      <c r="G124" s="81"/>
      <c r="H124" s="99">
        <v>1</v>
      </c>
      <c r="I124" s="78">
        <f>$D$108*$E$108</f>
        <v>60</v>
      </c>
      <c r="J124" s="78">
        <f t="shared" si="8"/>
        <v>60</v>
      </c>
      <c r="K124" s="81">
        <v>1000</v>
      </c>
      <c r="L124" s="55">
        <f>(IF(G124="",0,IFERROR(VLOOKUP(G124, 'Materials Unit Costs'!$C$10:$F$79, 4, FALSE) * I124, "")))*1000/1000000</f>
        <v>0</v>
      </c>
      <c r="M124" s="142"/>
    </row>
    <row r="125" spans="3:13" ht="14.5" customHeight="1" x14ac:dyDescent="0.35">
      <c r="C125" s="145"/>
      <c r="D125" s="145"/>
      <c r="E125" s="145"/>
      <c r="F125" s="1" t="s">
        <v>195</v>
      </c>
      <c r="G125" s="81"/>
      <c r="H125" s="99">
        <v>1</v>
      </c>
      <c r="I125" s="78">
        <f>$D$108*$E$108</f>
        <v>60</v>
      </c>
      <c r="J125" s="78">
        <f t="shared" si="8"/>
        <v>60</v>
      </c>
      <c r="K125" s="81">
        <v>1000</v>
      </c>
      <c r="L125" s="55">
        <f>(IF(G125="",0,IFERROR(VLOOKUP(G125, 'Materials Unit Costs'!$C$10:$F$79, 4, FALSE) * I125, "")))*1000/1000000</f>
        <v>0</v>
      </c>
      <c r="M125" s="142"/>
    </row>
    <row r="126" spans="3:13" ht="14.5" customHeight="1" x14ac:dyDescent="0.35">
      <c r="C126" s="145"/>
      <c r="D126" s="145"/>
      <c r="E126" s="145"/>
      <c r="F126" s="1" t="s">
        <v>186</v>
      </c>
      <c r="G126" s="81"/>
      <c r="H126" s="99"/>
      <c r="I126" s="78">
        <f>$D$108*$E$108*H126</f>
        <v>0</v>
      </c>
      <c r="J126" s="78">
        <f t="shared" ref="J126" si="15">I126*K126/1000</f>
        <v>0</v>
      </c>
      <c r="K126" s="81">
        <v>2400</v>
      </c>
      <c r="L126" s="55">
        <f>(IF(G126="",0,IFERROR(VLOOKUP(G126, 'Materials Unit Costs'!$C$10:$F$79, 4, FALSE) * I126, "")))/1000000</f>
        <v>0</v>
      </c>
      <c r="M126" s="142"/>
    </row>
    <row r="127" spans="3:13" ht="14.5" customHeight="1" x14ac:dyDescent="0.35">
      <c r="C127" s="146"/>
      <c r="D127" s="146"/>
      <c r="E127" s="146"/>
      <c r="F127" s="1" t="s">
        <v>187</v>
      </c>
      <c r="G127" s="81"/>
      <c r="H127" s="99"/>
      <c r="I127" s="78"/>
      <c r="J127" s="78"/>
      <c r="K127" s="81">
        <v>7750</v>
      </c>
      <c r="L127" s="55">
        <f>(IF(G127="",0,IFERROR(VLOOKUP(G127, 'Materials Unit Costs'!$C$10:$F$79, 4, FALSE) * J127, "")))/1000000</f>
        <v>0</v>
      </c>
      <c r="M127" s="143"/>
    </row>
    <row r="128" spans="3:13" ht="21" x14ac:dyDescent="0.5">
      <c r="C128" s="150" t="s">
        <v>164</v>
      </c>
      <c r="D128" s="150"/>
      <c r="E128" s="150"/>
      <c r="F128" s="150"/>
      <c r="G128" s="150"/>
      <c r="H128" s="150"/>
      <c r="I128" s="150"/>
      <c r="J128" s="150"/>
      <c r="K128" s="150"/>
      <c r="L128" s="150"/>
      <c r="M128" s="56">
        <f>M68+M88+M108</f>
        <v>6.1776450000000001</v>
      </c>
    </row>
    <row r="130" spans="3:13" x14ac:dyDescent="0.35">
      <c r="C130" s="11" t="s">
        <v>128</v>
      </c>
    </row>
    <row r="131" spans="3:13" ht="49.5" customHeight="1" x14ac:dyDescent="0.35">
      <c r="C131" s="6" t="s">
        <v>109</v>
      </c>
      <c r="D131" s="10" t="s">
        <v>114</v>
      </c>
      <c r="E131" s="10" t="s">
        <v>108</v>
      </c>
      <c r="F131" s="6" t="s">
        <v>13</v>
      </c>
      <c r="G131" s="6" t="s">
        <v>69</v>
      </c>
      <c r="H131" s="10" t="s">
        <v>107</v>
      </c>
      <c r="I131" s="10" t="s">
        <v>110</v>
      </c>
      <c r="J131" s="10" t="s">
        <v>113</v>
      </c>
      <c r="K131" s="10" t="s">
        <v>249</v>
      </c>
      <c r="L131" s="102" t="s">
        <v>250</v>
      </c>
      <c r="M131" s="102" t="s">
        <v>251</v>
      </c>
    </row>
    <row r="132" spans="3:13" ht="14.5" customHeight="1" x14ac:dyDescent="0.35">
      <c r="C132" s="144">
        <v>1</v>
      </c>
      <c r="D132" s="144">
        <v>20</v>
      </c>
      <c r="E132" s="144">
        <v>10</v>
      </c>
      <c r="F132" s="1" t="s">
        <v>159</v>
      </c>
      <c r="G132" s="98"/>
      <c r="H132" s="99"/>
      <c r="I132" s="78"/>
      <c r="J132" s="79"/>
      <c r="K132" s="80"/>
      <c r="L132" s="41">
        <f>('Materials Unit Costs'!$F$5*'Pavement Options'!I132)/1000000</f>
        <v>0</v>
      </c>
      <c r="M132" s="141">
        <f>SUM(L132:L151)</f>
        <v>0</v>
      </c>
    </row>
    <row r="133" spans="3:13" ht="14.5" customHeight="1" x14ac:dyDescent="0.35">
      <c r="C133" s="145"/>
      <c r="D133" s="145"/>
      <c r="E133" s="145"/>
      <c r="F133" s="1" t="s">
        <v>68</v>
      </c>
      <c r="G133" s="98"/>
      <c r="H133" s="99"/>
      <c r="I133" s="78">
        <f>$D$132*$E$132*H133</f>
        <v>0</v>
      </c>
      <c r="J133" s="79"/>
      <c r="K133" s="81">
        <v>2100</v>
      </c>
      <c r="L133" s="41">
        <f>('Materials Unit Costs'!$F$6*'Pavement Options'!I133)/1000000</f>
        <v>0</v>
      </c>
      <c r="M133" s="142"/>
    </row>
    <row r="134" spans="3:13" ht="14.5" customHeight="1" x14ac:dyDescent="0.35">
      <c r="C134" s="145"/>
      <c r="D134" s="145"/>
      <c r="E134" s="145"/>
      <c r="F134" s="1" t="s">
        <v>204</v>
      </c>
      <c r="G134" s="98"/>
      <c r="H134" s="99"/>
      <c r="I134" s="78">
        <f>$D$132*$E$132*H134</f>
        <v>0</v>
      </c>
      <c r="J134" s="78">
        <f>I134*K134/1000</f>
        <v>0</v>
      </c>
      <c r="K134" s="81">
        <v>2100</v>
      </c>
      <c r="L134" s="41">
        <f>('Materials Unit Costs'!$F$7*'Pavement Options'!I134)/1000000</f>
        <v>0</v>
      </c>
      <c r="M134" s="142"/>
    </row>
    <row r="135" spans="3:13" ht="14.5" customHeight="1" x14ac:dyDescent="0.35">
      <c r="C135" s="145"/>
      <c r="D135" s="145"/>
      <c r="E135" s="145"/>
      <c r="F135" s="1" t="s">
        <v>160</v>
      </c>
      <c r="G135" s="98"/>
      <c r="H135" s="99"/>
      <c r="I135" s="79"/>
      <c r="J135" s="78"/>
      <c r="K135" s="80"/>
      <c r="L135" s="41">
        <f>('Materials Unit Costs'!$F$8*'Pavement Options'!J135)/1000000</f>
        <v>0</v>
      </c>
      <c r="M135" s="142"/>
    </row>
    <row r="136" spans="3:13" ht="14.5" customHeight="1" x14ac:dyDescent="0.35">
      <c r="C136" s="145"/>
      <c r="D136" s="145"/>
      <c r="E136" s="145"/>
      <c r="F136" s="1" t="s">
        <v>112</v>
      </c>
      <c r="G136" s="81"/>
      <c r="H136" s="99"/>
      <c r="I136" s="78">
        <f t="shared" ref="I136:I143" si="16">$D$132*$E$132*H136</f>
        <v>0</v>
      </c>
      <c r="J136" s="78">
        <f t="shared" ref="J136:J189" si="17">I136*K136/1000</f>
        <v>0</v>
      </c>
      <c r="K136" s="81">
        <v>2000</v>
      </c>
      <c r="L136" s="55">
        <f>(IF(G136="",0,IFERROR(VLOOKUP(G136, 'Materials Unit Costs'!$C$10:$F$79, 4, FALSE) * I136, "")))/1000000</f>
        <v>0</v>
      </c>
      <c r="M136" s="142"/>
    </row>
    <row r="137" spans="3:13" ht="14.5" customHeight="1" x14ac:dyDescent="0.35">
      <c r="C137" s="145"/>
      <c r="D137" s="145"/>
      <c r="E137" s="145"/>
      <c r="F137" s="1" t="s">
        <v>111</v>
      </c>
      <c r="G137" s="81"/>
      <c r="H137" s="99"/>
      <c r="I137" s="78">
        <f t="shared" si="16"/>
        <v>0</v>
      </c>
      <c r="J137" s="78">
        <f t="shared" si="17"/>
        <v>0</v>
      </c>
      <c r="K137" s="81">
        <v>1800</v>
      </c>
      <c r="L137" s="55">
        <f>(IF(G137="",0,IFERROR(VLOOKUP(G137, 'Materials Unit Costs'!$C$10:$F$79, 4, FALSE) * I137, "")))/1000000</f>
        <v>0</v>
      </c>
      <c r="M137" s="142"/>
    </row>
    <row r="138" spans="3:13" ht="14.5" customHeight="1" x14ac:dyDescent="0.35">
      <c r="C138" s="145"/>
      <c r="D138" s="145"/>
      <c r="E138" s="145"/>
      <c r="F138" s="1" t="s">
        <v>100</v>
      </c>
      <c r="G138" s="81"/>
      <c r="H138" s="99"/>
      <c r="I138" s="78">
        <f t="shared" si="16"/>
        <v>0</v>
      </c>
      <c r="J138" s="78">
        <f t="shared" si="17"/>
        <v>0</v>
      </c>
      <c r="K138" s="81">
        <v>1800</v>
      </c>
      <c r="L138" s="55">
        <f>(IF(G138="",0,IFERROR(VLOOKUP(G138, 'Materials Unit Costs'!$C$10:$F$79, 4, FALSE) * I138, "")))/1000000</f>
        <v>0</v>
      </c>
      <c r="M138" s="142"/>
    </row>
    <row r="139" spans="3:13" ht="14.5" customHeight="1" x14ac:dyDescent="0.35">
      <c r="C139" s="145"/>
      <c r="D139" s="145"/>
      <c r="E139" s="145"/>
      <c r="F139" s="1" t="s">
        <v>101</v>
      </c>
      <c r="G139" s="81"/>
      <c r="H139" s="99"/>
      <c r="I139" s="78">
        <f t="shared" si="16"/>
        <v>0</v>
      </c>
      <c r="J139" s="78">
        <f t="shared" si="17"/>
        <v>0</v>
      </c>
      <c r="K139" s="81">
        <v>1800</v>
      </c>
      <c r="L139" s="55">
        <f>(IF(G139="",0,IFERROR(VLOOKUP(G139, 'Materials Unit Costs'!$C$10:$F$79, 4, FALSE) * I139, "")))/1000000</f>
        <v>0</v>
      </c>
      <c r="M139" s="142"/>
    </row>
    <row r="140" spans="3:13" ht="14.5" customHeight="1" x14ac:dyDescent="0.35">
      <c r="C140" s="145"/>
      <c r="D140" s="145"/>
      <c r="E140" s="145"/>
      <c r="F140" s="1" t="s">
        <v>103</v>
      </c>
      <c r="G140" s="81"/>
      <c r="H140" s="99"/>
      <c r="I140" s="78">
        <f t="shared" si="16"/>
        <v>0</v>
      </c>
      <c r="J140" s="78">
        <f t="shared" si="17"/>
        <v>0</v>
      </c>
      <c r="K140" s="81">
        <v>1700</v>
      </c>
      <c r="L140" s="55">
        <f>(IF(G140="",0,IFERROR(VLOOKUP(G140, 'Materials Unit Costs'!$C$10:$F$79, 4, FALSE) * I140, "")))/1000000</f>
        <v>0</v>
      </c>
      <c r="M140" s="142"/>
    </row>
    <row r="141" spans="3:13" ht="14.5" customHeight="1" x14ac:dyDescent="0.35">
      <c r="C141" s="145"/>
      <c r="D141" s="145"/>
      <c r="E141" s="145"/>
      <c r="F141" s="1" t="s">
        <v>102</v>
      </c>
      <c r="G141" s="81"/>
      <c r="H141" s="99"/>
      <c r="I141" s="78">
        <f t="shared" si="16"/>
        <v>0</v>
      </c>
      <c r="J141" s="78">
        <f t="shared" si="17"/>
        <v>0</v>
      </c>
      <c r="K141" s="81">
        <v>1700</v>
      </c>
      <c r="L141" s="55">
        <f>(IF(G141="",0,IFERROR(VLOOKUP(G141, 'Materials Unit Costs'!$C$10:$F$79, 4, FALSE) * I141, "")))/1000000</f>
        <v>0</v>
      </c>
      <c r="M141" s="142"/>
    </row>
    <row r="142" spans="3:13" ht="14.5" customHeight="1" x14ac:dyDescent="0.35">
      <c r="C142" s="145"/>
      <c r="D142" s="145"/>
      <c r="E142" s="145"/>
      <c r="F142" s="1" t="s">
        <v>104</v>
      </c>
      <c r="G142" s="81"/>
      <c r="H142" s="99"/>
      <c r="I142" s="78">
        <f t="shared" si="16"/>
        <v>0</v>
      </c>
      <c r="J142" s="78">
        <f t="shared" si="17"/>
        <v>0</v>
      </c>
      <c r="K142" s="81">
        <v>2400</v>
      </c>
      <c r="L142" s="55">
        <f>(IF(G142="",0,IFERROR(VLOOKUP(G142, 'Materials Unit Costs'!$C$10:$F$79, 4, FALSE) * I142, "")))/1000000</f>
        <v>0</v>
      </c>
      <c r="M142" s="142"/>
    </row>
    <row r="143" spans="3:13" ht="14.5" customHeight="1" x14ac:dyDescent="0.35">
      <c r="C143" s="145"/>
      <c r="D143" s="145"/>
      <c r="E143" s="145"/>
      <c r="F143" s="1" t="s">
        <v>105</v>
      </c>
      <c r="G143" s="81"/>
      <c r="H143" s="99"/>
      <c r="I143" s="78">
        <f t="shared" si="16"/>
        <v>0</v>
      </c>
      <c r="J143" s="78">
        <f t="shared" si="17"/>
        <v>0</v>
      </c>
      <c r="K143" s="81">
        <v>2400</v>
      </c>
      <c r="L143" s="55">
        <f>(IF(G143="",0,IFERROR(VLOOKUP(G143, 'Materials Unit Costs'!$C$10:$F$79, 4, FALSE) * I143, "")))/1000000</f>
        <v>0</v>
      </c>
      <c r="M143" s="142"/>
    </row>
    <row r="144" spans="3:13" ht="14.5" customHeight="1" x14ac:dyDescent="0.35">
      <c r="C144" s="145"/>
      <c r="D144" s="145"/>
      <c r="E144" s="145"/>
      <c r="F144" s="1" t="s">
        <v>106</v>
      </c>
      <c r="G144" s="81"/>
      <c r="H144" s="99"/>
      <c r="I144" s="78">
        <f>$D$132*$E$132*1000</f>
        <v>200000</v>
      </c>
      <c r="J144" s="78">
        <f>I144*K144*(H144/1000)/1000</f>
        <v>0</v>
      </c>
      <c r="K144" s="81">
        <v>1800</v>
      </c>
      <c r="L144" s="55">
        <f>(IF(G144="",0,IFERROR(VLOOKUP(G144, 'Materials Unit Costs'!$C$10:$F$79, 4, FALSE) * I144, "")))/1000000</f>
        <v>0</v>
      </c>
      <c r="M144" s="142"/>
    </row>
    <row r="145" spans="3:13" ht="14.5" customHeight="1" x14ac:dyDescent="0.35">
      <c r="C145" s="145"/>
      <c r="D145" s="145"/>
      <c r="E145" s="145"/>
      <c r="F145" s="1" t="s">
        <v>184</v>
      </c>
      <c r="G145" s="81"/>
      <c r="H145" s="99"/>
      <c r="I145" s="78">
        <f>$D$132*$E$132*H145</f>
        <v>0</v>
      </c>
      <c r="J145" s="78">
        <f>I145*K145/1000</f>
        <v>0</v>
      </c>
      <c r="K145" s="81">
        <v>2400</v>
      </c>
      <c r="L145" s="55">
        <f>(IF(G145="",0,IFERROR(VLOOKUP(G145, 'Materials Unit Costs'!$C$10:$F$79, 4, FALSE) * I145, "")))/1000000</f>
        <v>0</v>
      </c>
      <c r="M145" s="142"/>
    </row>
    <row r="146" spans="3:13" ht="14.5" customHeight="1" x14ac:dyDescent="0.35">
      <c r="C146" s="145"/>
      <c r="D146" s="145"/>
      <c r="E146" s="145"/>
      <c r="F146" s="1" t="s">
        <v>185</v>
      </c>
      <c r="G146" s="81"/>
      <c r="H146" s="99"/>
      <c r="I146" s="78">
        <f>$D$132*$E$132*1000</f>
        <v>200000</v>
      </c>
      <c r="J146" s="78">
        <f>I146*K146*(H146/1000)/1000</f>
        <v>0</v>
      </c>
      <c r="K146" s="81">
        <v>1800</v>
      </c>
      <c r="L146" s="55">
        <f>(IF(G146="",0,IFERROR(VLOOKUP(G146, 'Materials Unit Costs'!$C$10:$F$79, 4, FALSE) * I146, "")))/1000000</f>
        <v>0</v>
      </c>
      <c r="M146" s="142"/>
    </row>
    <row r="147" spans="3:13" ht="14.5" customHeight="1" x14ac:dyDescent="0.35">
      <c r="C147" s="145"/>
      <c r="D147" s="145"/>
      <c r="E147" s="145"/>
      <c r="F147" s="1" t="s">
        <v>188</v>
      </c>
      <c r="G147" s="81"/>
      <c r="H147" s="99"/>
      <c r="I147" s="78">
        <f>$D$132*$E$132</f>
        <v>200</v>
      </c>
      <c r="J147" s="78">
        <f t="shared" si="17"/>
        <v>200</v>
      </c>
      <c r="K147" s="81">
        <v>1000</v>
      </c>
      <c r="L147" s="55">
        <f>(IF(G147="",0,IFERROR(VLOOKUP(G147, 'Materials Unit Costs'!$C$10:$F$79, 4, FALSE) * I147, "")))*1000/1000000</f>
        <v>0</v>
      </c>
      <c r="M147" s="142"/>
    </row>
    <row r="148" spans="3:13" ht="14.5" customHeight="1" x14ac:dyDescent="0.35">
      <c r="C148" s="145"/>
      <c r="D148" s="145"/>
      <c r="E148" s="145"/>
      <c r="F148" s="1" t="s">
        <v>189</v>
      </c>
      <c r="G148" s="81"/>
      <c r="H148" s="99"/>
      <c r="I148" s="78">
        <f>$D$132*$E$132</f>
        <v>200</v>
      </c>
      <c r="J148" s="78">
        <f t="shared" si="17"/>
        <v>200</v>
      </c>
      <c r="K148" s="81">
        <v>1000</v>
      </c>
      <c r="L148" s="55">
        <f>(IF(G148="",0,IFERROR(VLOOKUP(G148, 'Materials Unit Costs'!$C$10:$F$79, 4, FALSE) * I148, "")))*1000/1000000</f>
        <v>0</v>
      </c>
      <c r="M148" s="142"/>
    </row>
    <row r="149" spans="3:13" ht="14.5" customHeight="1" x14ac:dyDescent="0.35">
      <c r="C149" s="145"/>
      <c r="D149" s="145"/>
      <c r="E149" s="145"/>
      <c r="F149" s="1" t="s">
        <v>195</v>
      </c>
      <c r="G149" s="81"/>
      <c r="H149" s="99"/>
      <c r="I149" s="78">
        <f>$D$132*$E$132</f>
        <v>200</v>
      </c>
      <c r="J149" s="78">
        <f t="shared" si="17"/>
        <v>200</v>
      </c>
      <c r="K149" s="81">
        <v>1000</v>
      </c>
      <c r="L149" s="55">
        <f>(IF(G149="",0,IFERROR(VLOOKUP(G149, 'Materials Unit Costs'!$C$10:$F$79, 4, FALSE) * I149, "")))*1000/1000000</f>
        <v>0</v>
      </c>
      <c r="M149" s="142"/>
    </row>
    <row r="150" spans="3:13" ht="14.5" customHeight="1" x14ac:dyDescent="0.35">
      <c r="C150" s="145"/>
      <c r="D150" s="145"/>
      <c r="E150" s="145"/>
      <c r="F150" s="1" t="s">
        <v>186</v>
      </c>
      <c r="G150" s="81"/>
      <c r="H150" s="99"/>
      <c r="I150" s="78">
        <f>$D$132*$E$132*H150</f>
        <v>0</v>
      </c>
      <c r="J150" s="78">
        <f t="shared" ref="J150" si="18">I150*K150/1000</f>
        <v>0</v>
      </c>
      <c r="K150" s="81">
        <v>2400</v>
      </c>
      <c r="L150" s="55">
        <f>(IF(G150="",0,IFERROR(VLOOKUP(G150, 'Materials Unit Costs'!$C$10:$F$79, 4, FALSE) * I150, "")))/1000000</f>
        <v>0</v>
      </c>
      <c r="M150" s="142"/>
    </row>
    <row r="151" spans="3:13" ht="14.5" customHeight="1" x14ac:dyDescent="0.35">
      <c r="C151" s="146"/>
      <c r="D151" s="146"/>
      <c r="E151" s="146"/>
      <c r="F151" s="1" t="s">
        <v>187</v>
      </c>
      <c r="G151" s="81"/>
      <c r="H151" s="99"/>
      <c r="I151" s="78"/>
      <c r="J151" s="78"/>
      <c r="K151" s="81">
        <v>7750</v>
      </c>
      <c r="L151" s="55">
        <f>(IF(G151="",0,IFERROR(VLOOKUP(G151, 'Materials Unit Costs'!$C$10:$F$79, 4, FALSE) * J151, "")))/1000000</f>
        <v>0</v>
      </c>
      <c r="M151" s="143"/>
    </row>
    <row r="152" spans="3:13" ht="14.5" customHeight="1" x14ac:dyDescent="0.35">
      <c r="C152" s="144">
        <v>2</v>
      </c>
      <c r="D152" s="144">
        <v>30</v>
      </c>
      <c r="E152" s="144">
        <v>10</v>
      </c>
      <c r="F152" s="1" t="s">
        <v>159</v>
      </c>
      <c r="G152" s="98"/>
      <c r="H152" s="99"/>
      <c r="I152" s="78"/>
      <c r="J152" s="79"/>
      <c r="K152" s="80"/>
      <c r="L152" s="41">
        <f>('Materials Unit Costs'!$F$5*'Pavement Options'!I152)/1000000</f>
        <v>0</v>
      </c>
      <c r="M152" s="141">
        <f>SUM(L152:L171)</f>
        <v>0</v>
      </c>
    </row>
    <row r="153" spans="3:13" ht="14.5" customHeight="1" x14ac:dyDescent="0.35">
      <c r="C153" s="145"/>
      <c r="D153" s="145"/>
      <c r="E153" s="145"/>
      <c r="F153" s="1" t="s">
        <v>68</v>
      </c>
      <c r="G153" s="98"/>
      <c r="H153" s="99"/>
      <c r="I153" s="78">
        <f>$D$152*$E$152*H153</f>
        <v>0</v>
      </c>
      <c r="J153" s="79"/>
      <c r="K153" s="81">
        <v>2100</v>
      </c>
      <c r="L153" s="41">
        <f>('Materials Unit Costs'!$F$6*'Pavement Options'!I153)/1000000</f>
        <v>0</v>
      </c>
      <c r="M153" s="142"/>
    </row>
    <row r="154" spans="3:13" ht="14.5" customHeight="1" x14ac:dyDescent="0.35">
      <c r="C154" s="145"/>
      <c r="D154" s="145"/>
      <c r="E154" s="145"/>
      <c r="F154" s="1" t="s">
        <v>204</v>
      </c>
      <c r="G154" s="98"/>
      <c r="H154" s="99"/>
      <c r="I154" s="78">
        <f>$D$152*$E$152*H154</f>
        <v>0</v>
      </c>
      <c r="J154" s="78">
        <f>I154*K154/1000</f>
        <v>0</v>
      </c>
      <c r="K154" s="81">
        <v>2100</v>
      </c>
      <c r="L154" s="41">
        <f>('Materials Unit Costs'!$F$7*'Pavement Options'!I154)/1000000</f>
        <v>0</v>
      </c>
      <c r="M154" s="142"/>
    </row>
    <row r="155" spans="3:13" ht="14.5" customHeight="1" x14ac:dyDescent="0.35">
      <c r="C155" s="145"/>
      <c r="D155" s="145"/>
      <c r="E155" s="145"/>
      <c r="F155" s="1" t="s">
        <v>160</v>
      </c>
      <c r="G155" s="98"/>
      <c r="H155" s="99"/>
      <c r="I155" s="79"/>
      <c r="J155" s="78"/>
      <c r="K155" s="80"/>
      <c r="L155" s="41">
        <f>('Materials Unit Costs'!$F$8*'Pavement Options'!J155)/1000000</f>
        <v>0</v>
      </c>
      <c r="M155" s="142"/>
    </row>
    <row r="156" spans="3:13" ht="14.5" customHeight="1" x14ac:dyDescent="0.35">
      <c r="C156" s="145"/>
      <c r="D156" s="145"/>
      <c r="E156" s="145"/>
      <c r="F156" s="1" t="s">
        <v>112</v>
      </c>
      <c r="G156" s="81"/>
      <c r="H156" s="99"/>
      <c r="I156" s="78">
        <f t="shared" ref="I156:I163" si="19">$D$152*$E$152*H156</f>
        <v>0</v>
      </c>
      <c r="J156" s="78">
        <f t="shared" si="17"/>
        <v>0</v>
      </c>
      <c r="K156" s="81">
        <v>2000</v>
      </c>
      <c r="L156" s="55">
        <f>(IF(G156="",0,IFERROR(VLOOKUP(G156, 'Materials Unit Costs'!$C$10:$F$79, 4, FALSE) * I156, "")))/1000000</f>
        <v>0</v>
      </c>
      <c r="M156" s="142"/>
    </row>
    <row r="157" spans="3:13" ht="14.5" customHeight="1" x14ac:dyDescent="0.35">
      <c r="C157" s="145"/>
      <c r="D157" s="145"/>
      <c r="E157" s="145"/>
      <c r="F157" s="1" t="s">
        <v>111</v>
      </c>
      <c r="G157" s="81"/>
      <c r="H157" s="99"/>
      <c r="I157" s="78">
        <f t="shared" si="19"/>
        <v>0</v>
      </c>
      <c r="J157" s="78">
        <f t="shared" si="17"/>
        <v>0</v>
      </c>
      <c r="K157" s="81">
        <v>1800</v>
      </c>
      <c r="L157" s="55">
        <f>(IF(G157="",0,IFERROR(VLOOKUP(G157, 'Materials Unit Costs'!$C$10:$F$79, 4, FALSE) * I157, "")))/1000000</f>
        <v>0</v>
      </c>
      <c r="M157" s="142"/>
    </row>
    <row r="158" spans="3:13" ht="14.5" customHeight="1" x14ac:dyDescent="0.35">
      <c r="C158" s="145"/>
      <c r="D158" s="145"/>
      <c r="E158" s="145"/>
      <c r="F158" s="1" t="s">
        <v>100</v>
      </c>
      <c r="G158" s="81"/>
      <c r="H158" s="99"/>
      <c r="I158" s="78">
        <f t="shared" si="19"/>
        <v>0</v>
      </c>
      <c r="J158" s="78">
        <f t="shared" si="17"/>
        <v>0</v>
      </c>
      <c r="K158" s="81">
        <v>1800</v>
      </c>
      <c r="L158" s="55">
        <f>(IF(G158="",0,IFERROR(VLOOKUP(G158, 'Materials Unit Costs'!$C$10:$F$79, 4, FALSE) * I158, "")))/1000000</f>
        <v>0</v>
      </c>
      <c r="M158" s="142"/>
    </row>
    <row r="159" spans="3:13" ht="14.5" customHeight="1" x14ac:dyDescent="0.35">
      <c r="C159" s="145"/>
      <c r="D159" s="145"/>
      <c r="E159" s="145"/>
      <c r="F159" s="1" t="s">
        <v>101</v>
      </c>
      <c r="G159" s="81"/>
      <c r="H159" s="99"/>
      <c r="I159" s="78">
        <f t="shared" si="19"/>
        <v>0</v>
      </c>
      <c r="J159" s="78">
        <f t="shared" si="17"/>
        <v>0</v>
      </c>
      <c r="K159" s="81">
        <v>1800</v>
      </c>
      <c r="L159" s="55">
        <f>(IF(G159="",0,IFERROR(VLOOKUP(G159, 'Materials Unit Costs'!$C$10:$F$79, 4, FALSE) * I159, "")))/1000000</f>
        <v>0</v>
      </c>
      <c r="M159" s="142"/>
    </row>
    <row r="160" spans="3:13" ht="14.5" customHeight="1" x14ac:dyDescent="0.35">
      <c r="C160" s="145"/>
      <c r="D160" s="145"/>
      <c r="E160" s="145"/>
      <c r="F160" s="1" t="s">
        <v>103</v>
      </c>
      <c r="G160" s="81"/>
      <c r="H160" s="99"/>
      <c r="I160" s="78">
        <f t="shared" si="19"/>
        <v>0</v>
      </c>
      <c r="J160" s="78">
        <f t="shared" si="17"/>
        <v>0</v>
      </c>
      <c r="K160" s="81">
        <v>1700</v>
      </c>
      <c r="L160" s="55">
        <f>(IF(G160="",0,IFERROR(VLOOKUP(G160, 'Materials Unit Costs'!$C$10:$F$79, 4, FALSE) * I160, "")))/1000000</f>
        <v>0</v>
      </c>
      <c r="M160" s="142"/>
    </row>
    <row r="161" spans="3:13" ht="14.5" customHeight="1" x14ac:dyDescent="0.35">
      <c r="C161" s="145"/>
      <c r="D161" s="145"/>
      <c r="E161" s="145"/>
      <c r="F161" s="1" t="s">
        <v>102</v>
      </c>
      <c r="G161" s="81"/>
      <c r="H161" s="99"/>
      <c r="I161" s="78">
        <f t="shared" si="19"/>
        <v>0</v>
      </c>
      <c r="J161" s="78">
        <f t="shared" si="17"/>
        <v>0</v>
      </c>
      <c r="K161" s="81">
        <v>1700</v>
      </c>
      <c r="L161" s="55">
        <f>(IF(G161="",0,IFERROR(VLOOKUP(G161, 'Materials Unit Costs'!$C$10:$F$79, 4, FALSE) * I161, "")))/1000000</f>
        <v>0</v>
      </c>
      <c r="M161" s="142"/>
    </row>
    <row r="162" spans="3:13" ht="14.5" customHeight="1" x14ac:dyDescent="0.35">
      <c r="C162" s="145"/>
      <c r="D162" s="145"/>
      <c r="E162" s="145"/>
      <c r="F162" s="1" t="s">
        <v>104</v>
      </c>
      <c r="G162" s="81"/>
      <c r="H162" s="99"/>
      <c r="I162" s="78">
        <f t="shared" si="19"/>
        <v>0</v>
      </c>
      <c r="J162" s="78">
        <f t="shared" si="17"/>
        <v>0</v>
      </c>
      <c r="K162" s="81">
        <v>2400</v>
      </c>
      <c r="L162" s="55">
        <f>(IF(G162="",0,IFERROR(VLOOKUP(G162, 'Materials Unit Costs'!$C$10:$F$79, 4, FALSE) * I162, "")))/1000000</f>
        <v>0</v>
      </c>
      <c r="M162" s="142"/>
    </row>
    <row r="163" spans="3:13" ht="14.5" customHeight="1" x14ac:dyDescent="0.35">
      <c r="C163" s="145"/>
      <c r="D163" s="145"/>
      <c r="E163" s="145"/>
      <c r="F163" s="1" t="s">
        <v>105</v>
      </c>
      <c r="G163" s="81"/>
      <c r="H163" s="99"/>
      <c r="I163" s="78">
        <f t="shared" si="19"/>
        <v>0</v>
      </c>
      <c r="J163" s="78">
        <f t="shared" si="17"/>
        <v>0</v>
      </c>
      <c r="K163" s="81">
        <v>2400</v>
      </c>
      <c r="L163" s="55">
        <f>(IF(G163="",0,IFERROR(VLOOKUP(G163, 'Materials Unit Costs'!$C$10:$F$79, 4, FALSE) * I163, "")))/1000000</f>
        <v>0</v>
      </c>
      <c r="M163" s="142"/>
    </row>
    <row r="164" spans="3:13" ht="14.5" customHeight="1" x14ac:dyDescent="0.35">
      <c r="C164" s="145"/>
      <c r="D164" s="145"/>
      <c r="E164" s="145"/>
      <c r="F164" s="1" t="s">
        <v>106</v>
      </c>
      <c r="G164" s="81"/>
      <c r="H164" s="99"/>
      <c r="I164" s="78">
        <f>$D$152*$E$152*1000</f>
        <v>300000</v>
      </c>
      <c r="J164" s="78">
        <f>I164*K164*(H164/1000)/1000</f>
        <v>0</v>
      </c>
      <c r="K164" s="81">
        <v>1800</v>
      </c>
      <c r="L164" s="55">
        <f>(IF(G164="",0,IFERROR(VLOOKUP(G164, 'Materials Unit Costs'!$C$10:$F$79, 4, FALSE) * I164, "")))/1000000</f>
        <v>0</v>
      </c>
      <c r="M164" s="142"/>
    </row>
    <row r="165" spans="3:13" ht="14.5" customHeight="1" x14ac:dyDescent="0.35">
      <c r="C165" s="145"/>
      <c r="D165" s="145"/>
      <c r="E165" s="145"/>
      <c r="F165" s="1" t="s">
        <v>184</v>
      </c>
      <c r="G165" s="81"/>
      <c r="H165" s="99"/>
      <c r="I165" s="78">
        <f>$D$152*$E$152*H165</f>
        <v>0</v>
      </c>
      <c r="J165" s="78">
        <f>I165*K165/1000</f>
        <v>0</v>
      </c>
      <c r="K165" s="81">
        <v>2400</v>
      </c>
      <c r="L165" s="55">
        <f>(IF(G165="",0,IFERROR(VLOOKUP(G165, 'Materials Unit Costs'!$C$10:$F$79, 4, FALSE) * I165, "")))/1000000</f>
        <v>0</v>
      </c>
      <c r="M165" s="142"/>
    </row>
    <row r="166" spans="3:13" ht="14.5" customHeight="1" x14ac:dyDescent="0.35">
      <c r="C166" s="145"/>
      <c r="D166" s="145"/>
      <c r="E166" s="145"/>
      <c r="F166" s="1" t="s">
        <v>185</v>
      </c>
      <c r="G166" s="81"/>
      <c r="H166" s="99"/>
      <c r="I166" s="78">
        <f>$D$152*$E$152*1000</f>
        <v>300000</v>
      </c>
      <c r="J166" s="78">
        <f>I166*K166*(H166/1000)/1000</f>
        <v>0</v>
      </c>
      <c r="K166" s="81">
        <v>1800</v>
      </c>
      <c r="L166" s="55">
        <f>(IF(G166="",0,IFERROR(VLOOKUP(G166, 'Materials Unit Costs'!$C$10:$F$79, 4, FALSE) * I166, "")))/1000000</f>
        <v>0</v>
      </c>
      <c r="M166" s="142"/>
    </row>
    <row r="167" spans="3:13" ht="14.5" customHeight="1" x14ac:dyDescent="0.35">
      <c r="C167" s="145"/>
      <c r="D167" s="145"/>
      <c r="E167" s="145"/>
      <c r="F167" s="1" t="s">
        <v>188</v>
      </c>
      <c r="G167" s="81"/>
      <c r="H167" s="99"/>
      <c r="I167" s="78">
        <f>$D$152*$E$152</f>
        <v>300</v>
      </c>
      <c r="J167" s="78">
        <f t="shared" ref="J167:J169" si="20">I167*K167/1000</f>
        <v>300</v>
      </c>
      <c r="K167" s="81">
        <v>1000</v>
      </c>
      <c r="L167" s="55">
        <f>(IF(G167="",0,IFERROR(VLOOKUP(G167, 'Materials Unit Costs'!$C$10:$F$79, 4, FALSE) * I167, "")))*1000/1000000</f>
        <v>0</v>
      </c>
      <c r="M167" s="142"/>
    </row>
    <row r="168" spans="3:13" ht="14.5" customHeight="1" x14ac:dyDescent="0.35">
      <c r="C168" s="145"/>
      <c r="D168" s="145"/>
      <c r="E168" s="145"/>
      <c r="F168" s="1" t="s">
        <v>189</v>
      </c>
      <c r="G168" s="81"/>
      <c r="H168" s="99"/>
      <c r="I168" s="78">
        <f>$D$152*$E$152</f>
        <v>300</v>
      </c>
      <c r="J168" s="78">
        <f t="shared" si="20"/>
        <v>300</v>
      </c>
      <c r="K168" s="81">
        <v>1000</v>
      </c>
      <c r="L168" s="55">
        <f>(IF(G168="",0,IFERROR(VLOOKUP(G168, 'Materials Unit Costs'!$C$10:$F$79, 4, FALSE) * I168, "")))*1000/1000000</f>
        <v>0</v>
      </c>
      <c r="M168" s="142"/>
    </row>
    <row r="169" spans="3:13" ht="14.5" customHeight="1" x14ac:dyDescent="0.35">
      <c r="C169" s="145"/>
      <c r="D169" s="145"/>
      <c r="E169" s="145"/>
      <c r="F169" s="1" t="s">
        <v>195</v>
      </c>
      <c r="G169" s="81"/>
      <c r="H169" s="99"/>
      <c r="I169" s="78">
        <f>$D$152*$E$152</f>
        <v>300</v>
      </c>
      <c r="J169" s="78">
        <f t="shared" si="20"/>
        <v>300</v>
      </c>
      <c r="K169" s="81">
        <v>1000</v>
      </c>
      <c r="L169" s="55">
        <f>(IF(G169="",0,IFERROR(VLOOKUP(G169, 'Materials Unit Costs'!$C$10:$F$79, 4, FALSE) * I169, "")))*1000/1000000</f>
        <v>0</v>
      </c>
      <c r="M169" s="142"/>
    </row>
    <row r="170" spans="3:13" ht="14.5" customHeight="1" x14ac:dyDescent="0.35">
      <c r="C170" s="145"/>
      <c r="D170" s="145"/>
      <c r="E170" s="145"/>
      <c r="F170" s="1" t="s">
        <v>186</v>
      </c>
      <c r="G170" s="81"/>
      <c r="H170" s="99"/>
      <c r="I170" s="78">
        <f>$D$152*$E$152*H170</f>
        <v>0</v>
      </c>
      <c r="J170" s="78">
        <f t="shared" ref="J170" si="21">I170*K170/1000</f>
        <v>0</v>
      </c>
      <c r="K170" s="81">
        <v>2400</v>
      </c>
      <c r="L170" s="55">
        <f>(IF(G170="",0,IFERROR(VLOOKUP(G170, 'Materials Unit Costs'!$C$10:$F$79, 4, FALSE) * I170, "")))/1000000</f>
        <v>0</v>
      </c>
      <c r="M170" s="142"/>
    </row>
    <row r="171" spans="3:13" ht="14.5" customHeight="1" x14ac:dyDescent="0.35">
      <c r="C171" s="146"/>
      <c r="D171" s="146"/>
      <c r="E171" s="146"/>
      <c r="F171" s="1" t="s">
        <v>187</v>
      </c>
      <c r="G171" s="81"/>
      <c r="H171" s="99"/>
      <c r="I171" s="78"/>
      <c r="J171" s="78"/>
      <c r="K171" s="81">
        <v>7750</v>
      </c>
      <c r="L171" s="55">
        <f>(IF(G171="",0,IFERROR(VLOOKUP(G171, 'Materials Unit Costs'!$C$10:$F$79, 4, FALSE) * J171, "")))/1000000</f>
        <v>0</v>
      </c>
      <c r="M171" s="143"/>
    </row>
    <row r="172" spans="3:13" ht="14.5" customHeight="1" x14ac:dyDescent="0.35">
      <c r="C172" s="144">
        <v>3</v>
      </c>
      <c r="D172" s="144">
        <v>40</v>
      </c>
      <c r="E172" s="144">
        <v>10</v>
      </c>
      <c r="F172" s="1" t="s">
        <v>159</v>
      </c>
      <c r="G172" s="98"/>
      <c r="H172" s="99"/>
      <c r="I172" s="78"/>
      <c r="J172" s="79"/>
      <c r="K172" s="80"/>
      <c r="L172" s="41">
        <f>('Materials Unit Costs'!$F$5*'Pavement Options'!I172)/1000000</f>
        <v>0</v>
      </c>
      <c r="M172" s="141">
        <f>SUM(L172:L191)</f>
        <v>0</v>
      </c>
    </row>
    <row r="173" spans="3:13" ht="14.5" customHeight="1" x14ac:dyDescent="0.35">
      <c r="C173" s="145"/>
      <c r="D173" s="145"/>
      <c r="E173" s="145"/>
      <c r="F173" s="1" t="s">
        <v>68</v>
      </c>
      <c r="G173" s="98"/>
      <c r="H173" s="99"/>
      <c r="I173" s="78">
        <f>$D$172*$E$172*H173</f>
        <v>0</v>
      </c>
      <c r="J173" s="79"/>
      <c r="K173" s="81">
        <v>2100</v>
      </c>
      <c r="L173" s="41">
        <f>('Materials Unit Costs'!$F$6*'Pavement Options'!I173)/1000000</f>
        <v>0</v>
      </c>
      <c r="M173" s="142"/>
    </row>
    <row r="174" spans="3:13" ht="14.5" customHeight="1" x14ac:dyDescent="0.35">
      <c r="C174" s="145"/>
      <c r="D174" s="145"/>
      <c r="E174" s="145"/>
      <c r="F174" s="1" t="s">
        <v>204</v>
      </c>
      <c r="G174" s="98"/>
      <c r="H174" s="99"/>
      <c r="I174" s="78">
        <f>$D$172*$E$172*H174</f>
        <v>0</v>
      </c>
      <c r="J174" s="78">
        <f>I174*K174/1000</f>
        <v>0</v>
      </c>
      <c r="K174" s="81">
        <v>2100</v>
      </c>
      <c r="L174" s="41">
        <f>('Materials Unit Costs'!$F$7*'Pavement Options'!I174)/1000000</f>
        <v>0</v>
      </c>
      <c r="M174" s="142"/>
    </row>
    <row r="175" spans="3:13" ht="14.5" customHeight="1" x14ac:dyDescent="0.35">
      <c r="C175" s="145"/>
      <c r="D175" s="145"/>
      <c r="E175" s="145"/>
      <c r="F175" s="1" t="s">
        <v>160</v>
      </c>
      <c r="G175" s="98"/>
      <c r="H175" s="99"/>
      <c r="I175" s="79"/>
      <c r="J175" s="78"/>
      <c r="K175" s="80"/>
      <c r="L175" s="41">
        <f>('Materials Unit Costs'!$F$8*'Pavement Options'!J175)/1000000</f>
        <v>0</v>
      </c>
      <c r="M175" s="142"/>
    </row>
    <row r="176" spans="3:13" ht="14.5" customHeight="1" x14ac:dyDescent="0.35">
      <c r="C176" s="145"/>
      <c r="D176" s="145"/>
      <c r="E176" s="145"/>
      <c r="F176" s="1" t="s">
        <v>112</v>
      </c>
      <c r="G176" s="81"/>
      <c r="H176" s="99"/>
      <c r="I176" s="78">
        <f t="shared" ref="I176:I185" si="22">$D$172*$E$172*H176</f>
        <v>0</v>
      </c>
      <c r="J176" s="78">
        <f t="shared" si="17"/>
        <v>0</v>
      </c>
      <c r="K176" s="81">
        <v>2000</v>
      </c>
      <c r="L176" s="55">
        <f>(IF(G176="",0,IFERROR(VLOOKUP(G176, 'Materials Unit Costs'!$C$10:$F$79, 4, FALSE) * I176, "")))/1000000</f>
        <v>0</v>
      </c>
      <c r="M176" s="142"/>
    </row>
    <row r="177" spans="3:13" ht="14.5" customHeight="1" x14ac:dyDescent="0.35">
      <c r="C177" s="145"/>
      <c r="D177" s="145"/>
      <c r="E177" s="145"/>
      <c r="F177" s="1" t="s">
        <v>111</v>
      </c>
      <c r="G177" s="81"/>
      <c r="H177" s="99"/>
      <c r="I177" s="78">
        <f t="shared" si="22"/>
        <v>0</v>
      </c>
      <c r="J177" s="78">
        <f t="shared" si="17"/>
        <v>0</v>
      </c>
      <c r="K177" s="81">
        <v>1800</v>
      </c>
      <c r="L177" s="55">
        <f>(IF(G177="",0,IFERROR(VLOOKUP(G177, 'Materials Unit Costs'!$C$10:$F$79, 4, FALSE) * I177, "")))/1000000</f>
        <v>0</v>
      </c>
      <c r="M177" s="142"/>
    </row>
    <row r="178" spans="3:13" ht="14.5" customHeight="1" x14ac:dyDescent="0.35">
      <c r="C178" s="145"/>
      <c r="D178" s="145"/>
      <c r="E178" s="145"/>
      <c r="F178" s="1" t="s">
        <v>100</v>
      </c>
      <c r="G178" s="81"/>
      <c r="H178" s="99"/>
      <c r="I178" s="78">
        <f t="shared" si="22"/>
        <v>0</v>
      </c>
      <c r="J178" s="78">
        <f t="shared" si="17"/>
        <v>0</v>
      </c>
      <c r="K178" s="81">
        <v>1800</v>
      </c>
      <c r="L178" s="55">
        <f>(IF(G178="",0,IFERROR(VLOOKUP(G178, 'Materials Unit Costs'!$C$10:$F$79, 4, FALSE) * I178, "")))/1000000</f>
        <v>0</v>
      </c>
      <c r="M178" s="142"/>
    </row>
    <row r="179" spans="3:13" ht="14.5" customHeight="1" x14ac:dyDescent="0.35">
      <c r="C179" s="145"/>
      <c r="D179" s="145"/>
      <c r="E179" s="145"/>
      <c r="F179" s="1" t="s">
        <v>101</v>
      </c>
      <c r="G179" s="81"/>
      <c r="H179" s="99"/>
      <c r="I179" s="78">
        <f t="shared" si="22"/>
        <v>0</v>
      </c>
      <c r="J179" s="78">
        <f t="shared" si="17"/>
        <v>0</v>
      </c>
      <c r="K179" s="81">
        <v>1800</v>
      </c>
      <c r="L179" s="55">
        <f>(IF(G179="",0,IFERROR(VLOOKUP(G179, 'Materials Unit Costs'!$C$10:$F$79, 4, FALSE) * I179, "")))/1000000</f>
        <v>0</v>
      </c>
      <c r="M179" s="142"/>
    </row>
    <row r="180" spans="3:13" ht="14.5" customHeight="1" x14ac:dyDescent="0.35">
      <c r="C180" s="145"/>
      <c r="D180" s="145"/>
      <c r="E180" s="145"/>
      <c r="F180" s="1" t="s">
        <v>103</v>
      </c>
      <c r="G180" s="81"/>
      <c r="H180" s="99"/>
      <c r="I180" s="78">
        <f t="shared" si="22"/>
        <v>0</v>
      </c>
      <c r="J180" s="78">
        <f t="shared" si="17"/>
        <v>0</v>
      </c>
      <c r="K180" s="81">
        <v>1700</v>
      </c>
      <c r="L180" s="55">
        <f>(IF(G180="",0,IFERROR(VLOOKUP(G180, 'Materials Unit Costs'!$C$10:$F$79, 4, FALSE) * I180, "")))/1000000</f>
        <v>0</v>
      </c>
      <c r="M180" s="142"/>
    </row>
    <row r="181" spans="3:13" ht="14.5" customHeight="1" x14ac:dyDescent="0.35">
      <c r="C181" s="145"/>
      <c r="D181" s="145"/>
      <c r="E181" s="145"/>
      <c r="F181" s="1" t="s">
        <v>102</v>
      </c>
      <c r="G181" s="81"/>
      <c r="H181" s="99"/>
      <c r="I181" s="78">
        <f t="shared" si="22"/>
        <v>0</v>
      </c>
      <c r="J181" s="78">
        <f t="shared" si="17"/>
        <v>0</v>
      </c>
      <c r="K181" s="81">
        <v>1700</v>
      </c>
      <c r="L181" s="55">
        <f>(IF(G181="",0,IFERROR(VLOOKUP(G181, 'Materials Unit Costs'!$C$10:$F$79, 4, FALSE) * I181, "")))/1000000</f>
        <v>0</v>
      </c>
      <c r="M181" s="142"/>
    </row>
    <row r="182" spans="3:13" ht="14.5" customHeight="1" x14ac:dyDescent="0.35">
      <c r="C182" s="145"/>
      <c r="D182" s="145"/>
      <c r="E182" s="145"/>
      <c r="F182" s="1" t="s">
        <v>104</v>
      </c>
      <c r="G182" s="81"/>
      <c r="H182" s="99"/>
      <c r="I182" s="78">
        <f t="shared" si="22"/>
        <v>0</v>
      </c>
      <c r="J182" s="78">
        <f t="shared" si="17"/>
        <v>0</v>
      </c>
      <c r="K182" s="81">
        <v>2400</v>
      </c>
      <c r="L182" s="55">
        <f>(IF(G182="",0,IFERROR(VLOOKUP(G182, 'Materials Unit Costs'!$C$10:$F$79, 4, FALSE) * I182, "")))/1000000</f>
        <v>0</v>
      </c>
      <c r="M182" s="142"/>
    </row>
    <row r="183" spans="3:13" ht="14.5" customHeight="1" x14ac:dyDescent="0.35">
      <c r="C183" s="145"/>
      <c r="D183" s="145"/>
      <c r="E183" s="145"/>
      <c r="F183" s="1" t="s">
        <v>105</v>
      </c>
      <c r="G183" s="81"/>
      <c r="H183" s="99"/>
      <c r="I183" s="78">
        <f t="shared" si="22"/>
        <v>0</v>
      </c>
      <c r="J183" s="78">
        <f t="shared" si="17"/>
        <v>0</v>
      </c>
      <c r="K183" s="81">
        <v>2400</v>
      </c>
      <c r="L183" s="55">
        <f>(IF(G183="",0,IFERROR(VLOOKUP(G183, 'Materials Unit Costs'!$C$10:$F$79, 4, FALSE) * I183, "")))/1000000</f>
        <v>0</v>
      </c>
      <c r="M183" s="142"/>
    </row>
    <row r="184" spans="3:13" ht="14.5" customHeight="1" x14ac:dyDescent="0.35">
      <c r="C184" s="145"/>
      <c r="D184" s="145"/>
      <c r="E184" s="145"/>
      <c r="F184" s="1" t="s">
        <v>106</v>
      </c>
      <c r="G184" s="81"/>
      <c r="H184" s="99"/>
      <c r="I184" s="78">
        <f>$D$172*$E$172*1000</f>
        <v>400000</v>
      </c>
      <c r="J184" s="78">
        <f>I184*K184*(H184/1000)/1000</f>
        <v>0</v>
      </c>
      <c r="K184" s="81">
        <v>1800</v>
      </c>
      <c r="L184" s="55">
        <f>(IF(G184="",0,IFERROR(VLOOKUP(G184, 'Materials Unit Costs'!$C$10:$F$79, 4, FALSE) * I184, "")))/1000000</f>
        <v>0</v>
      </c>
      <c r="M184" s="142"/>
    </row>
    <row r="185" spans="3:13" ht="14.5" customHeight="1" x14ac:dyDescent="0.35">
      <c r="C185" s="145"/>
      <c r="D185" s="145"/>
      <c r="E185" s="145"/>
      <c r="F185" s="1" t="s">
        <v>184</v>
      </c>
      <c r="G185" s="81"/>
      <c r="H185" s="99"/>
      <c r="I185" s="78">
        <f t="shared" si="22"/>
        <v>0</v>
      </c>
      <c r="J185" s="78">
        <f>I185*K185/1000</f>
        <v>0</v>
      </c>
      <c r="K185" s="81">
        <v>2400</v>
      </c>
      <c r="L185" s="55">
        <f>(IF(G185="",0,IFERROR(VLOOKUP(G185, 'Materials Unit Costs'!$C$10:$F$79, 4, FALSE) * I185, "")))/1000000</f>
        <v>0</v>
      </c>
      <c r="M185" s="142"/>
    </row>
    <row r="186" spans="3:13" ht="14.5" customHeight="1" x14ac:dyDescent="0.35">
      <c r="C186" s="145"/>
      <c r="D186" s="145"/>
      <c r="E186" s="145"/>
      <c r="F186" s="1" t="s">
        <v>185</v>
      </c>
      <c r="G186" s="81"/>
      <c r="H186" s="99"/>
      <c r="I186" s="78">
        <f>$D$172*$E$172*1000</f>
        <v>400000</v>
      </c>
      <c r="J186" s="78">
        <f>I186*K186*(H186/1000)/1000</f>
        <v>0</v>
      </c>
      <c r="K186" s="81">
        <v>1800</v>
      </c>
      <c r="L186" s="55">
        <f>(IF(G186="",0,IFERROR(VLOOKUP(G186, 'Materials Unit Costs'!$C$10:$F$79, 4, FALSE) * I186, "")))/1000000</f>
        <v>0</v>
      </c>
      <c r="M186" s="142"/>
    </row>
    <row r="187" spans="3:13" ht="14.5" customHeight="1" x14ac:dyDescent="0.35">
      <c r="C187" s="145"/>
      <c r="D187" s="145"/>
      <c r="E187" s="145"/>
      <c r="F187" s="1" t="s">
        <v>188</v>
      </c>
      <c r="G187" s="81"/>
      <c r="H187" s="99"/>
      <c r="I187" s="78">
        <f>$D$172*$E$172</f>
        <v>400</v>
      </c>
      <c r="J187" s="78">
        <f t="shared" si="17"/>
        <v>400</v>
      </c>
      <c r="K187" s="81">
        <v>1000</v>
      </c>
      <c r="L187" s="55">
        <f>(IF(G187="",0,IFERROR(VLOOKUP(G187, 'Materials Unit Costs'!$C$10:$F$79, 4, FALSE) * I187, "")))*1000/1000000</f>
        <v>0</v>
      </c>
      <c r="M187" s="142"/>
    </row>
    <row r="188" spans="3:13" ht="14.5" customHeight="1" x14ac:dyDescent="0.35">
      <c r="C188" s="145"/>
      <c r="D188" s="145"/>
      <c r="E188" s="145"/>
      <c r="F188" s="1" t="s">
        <v>189</v>
      </c>
      <c r="G188" s="81"/>
      <c r="H188" s="99"/>
      <c r="I188" s="78">
        <f>$D$172*$E$172</f>
        <v>400</v>
      </c>
      <c r="J188" s="78">
        <f t="shared" si="17"/>
        <v>400</v>
      </c>
      <c r="K188" s="81">
        <v>1000</v>
      </c>
      <c r="L188" s="55">
        <f>(IF(G188="",0,IFERROR(VLOOKUP(G188, 'Materials Unit Costs'!$C$10:$F$79, 4, FALSE) * I188, "")))*1000/1000000</f>
        <v>0</v>
      </c>
      <c r="M188" s="142"/>
    </row>
    <row r="189" spans="3:13" ht="14.5" customHeight="1" x14ac:dyDescent="0.35">
      <c r="C189" s="145"/>
      <c r="D189" s="145"/>
      <c r="E189" s="145"/>
      <c r="F189" s="1" t="s">
        <v>195</v>
      </c>
      <c r="G189" s="81"/>
      <c r="H189" s="99"/>
      <c r="I189" s="78">
        <f>$D$172*$E$172</f>
        <v>400</v>
      </c>
      <c r="J189" s="78">
        <f t="shared" si="17"/>
        <v>400</v>
      </c>
      <c r="K189" s="81">
        <v>1000</v>
      </c>
      <c r="L189" s="55">
        <f>(IF(G189="",0,IFERROR(VLOOKUP(G189, 'Materials Unit Costs'!$C$10:$F$79, 4, FALSE) * I189, "")))*1000/1000000</f>
        <v>0</v>
      </c>
      <c r="M189" s="142"/>
    </row>
    <row r="190" spans="3:13" ht="14.5" customHeight="1" x14ac:dyDescent="0.35">
      <c r="C190" s="145"/>
      <c r="D190" s="145"/>
      <c r="E190" s="145"/>
      <c r="F190" s="1" t="s">
        <v>186</v>
      </c>
      <c r="G190" s="81"/>
      <c r="H190" s="99"/>
      <c r="I190" s="78">
        <f>$D$172*$E$172*H190</f>
        <v>0</v>
      </c>
      <c r="J190" s="78">
        <f t="shared" ref="J190" si="23">I190*K190/1000</f>
        <v>0</v>
      </c>
      <c r="K190" s="81">
        <v>2400</v>
      </c>
      <c r="L190" s="55">
        <f>(IF(G190="",0,IFERROR(VLOOKUP(G190, 'Materials Unit Costs'!$C$10:$F$79, 4, FALSE) * I190, "")))/1000000</f>
        <v>0</v>
      </c>
      <c r="M190" s="142"/>
    </row>
    <row r="191" spans="3:13" ht="14.5" customHeight="1" x14ac:dyDescent="0.35">
      <c r="C191" s="146"/>
      <c r="D191" s="146"/>
      <c r="E191" s="146"/>
      <c r="F191" s="1" t="s">
        <v>187</v>
      </c>
      <c r="G191" s="81"/>
      <c r="H191" s="99"/>
      <c r="I191" s="78"/>
      <c r="J191" s="78"/>
      <c r="K191" s="81">
        <v>7750</v>
      </c>
      <c r="L191" s="55">
        <f>(IF(G191="",0,IFERROR(VLOOKUP(G191, 'Materials Unit Costs'!$C$10:$F$79, 4, FALSE) * J191, "")))/1000000</f>
        <v>0</v>
      </c>
      <c r="M191" s="143"/>
    </row>
    <row r="192" spans="3:13" ht="21" x14ac:dyDescent="0.5">
      <c r="C192" s="150" t="s">
        <v>163</v>
      </c>
      <c r="D192" s="150"/>
      <c r="E192" s="150"/>
      <c r="F192" s="150"/>
      <c r="G192" s="150"/>
      <c r="H192" s="150"/>
      <c r="I192" s="150"/>
      <c r="J192" s="150"/>
      <c r="K192" s="150"/>
      <c r="L192" s="150"/>
      <c r="M192" s="56">
        <f>M132+M152+M172</f>
        <v>0</v>
      </c>
    </row>
    <row r="194" spans="3:13" x14ac:dyDescent="0.35">
      <c r="C194" s="11" t="s">
        <v>129</v>
      </c>
    </row>
    <row r="195" spans="3:13" ht="49.5" customHeight="1" x14ac:dyDescent="0.35">
      <c r="C195" s="6" t="s">
        <v>109</v>
      </c>
      <c r="D195" s="10" t="s">
        <v>114</v>
      </c>
      <c r="E195" s="10" t="s">
        <v>108</v>
      </c>
      <c r="F195" s="6" t="s">
        <v>13</v>
      </c>
      <c r="G195" s="6" t="s">
        <v>69</v>
      </c>
      <c r="H195" s="10" t="s">
        <v>107</v>
      </c>
      <c r="I195" s="10" t="s">
        <v>110</v>
      </c>
      <c r="J195" s="10" t="s">
        <v>113</v>
      </c>
      <c r="K195" s="10" t="s">
        <v>249</v>
      </c>
      <c r="L195" s="102" t="s">
        <v>250</v>
      </c>
      <c r="M195" s="102" t="s">
        <v>251</v>
      </c>
    </row>
    <row r="196" spans="3:13" ht="14.5" customHeight="1" x14ac:dyDescent="0.35">
      <c r="C196" s="147">
        <v>1</v>
      </c>
      <c r="D196" s="147">
        <v>20</v>
      </c>
      <c r="E196" s="147">
        <v>10</v>
      </c>
      <c r="F196" s="1" t="s">
        <v>159</v>
      </c>
      <c r="G196" s="98"/>
      <c r="H196" s="99"/>
      <c r="I196" s="78"/>
      <c r="J196" s="79"/>
      <c r="K196" s="80"/>
      <c r="L196" s="41">
        <f>('Materials Unit Costs'!$F$5*'Pavement Options'!I196)/1000000</f>
        <v>0</v>
      </c>
      <c r="M196" s="141">
        <f>SUM(L196:L215)</f>
        <v>0</v>
      </c>
    </row>
    <row r="197" spans="3:13" ht="14.5" customHeight="1" x14ac:dyDescent="0.35">
      <c r="C197" s="148"/>
      <c r="D197" s="148"/>
      <c r="E197" s="148"/>
      <c r="F197" s="1" t="s">
        <v>68</v>
      </c>
      <c r="G197" s="98"/>
      <c r="H197" s="99"/>
      <c r="I197" s="78">
        <f>$D$196*$E$196*H197</f>
        <v>0</v>
      </c>
      <c r="J197" s="79"/>
      <c r="K197" s="81">
        <v>2100</v>
      </c>
      <c r="L197" s="41">
        <f>('Materials Unit Costs'!$F$6*'Pavement Options'!I197)/1000000</f>
        <v>0</v>
      </c>
      <c r="M197" s="142"/>
    </row>
    <row r="198" spans="3:13" ht="14.5" customHeight="1" x14ac:dyDescent="0.35">
      <c r="C198" s="148"/>
      <c r="D198" s="148"/>
      <c r="E198" s="148"/>
      <c r="F198" s="1" t="s">
        <v>204</v>
      </c>
      <c r="G198" s="98"/>
      <c r="H198" s="99"/>
      <c r="I198" s="78">
        <f>$D$196*$E$196*H198</f>
        <v>0</v>
      </c>
      <c r="J198" s="78">
        <f>I198*K198/1000</f>
        <v>0</v>
      </c>
      <c r="K198" s="81">
        <v>2100</v>
      </c>
      <c r="L198" s="41">
        <f>('Materials Unit Costs'!$F$7*'Pavement Options'!I198)/1000000</f>
        <v>0</v>
      </c>
      <c r="M198" s="142"/>
    </row>
    <row r="199" spans="3:13" ht="14.5" customHeight="1" x14ac:dyDescent="0.35">
      <c r="C199" s="148"/>
      <c r="D199" s="148"/>
      <c r="E199" s="148"/>
      <c r="F199" s="1" t="s">
        <v>160</v>
      </c>
      <c r="G199" s="98"/>
      <c r="H199" s="99"/>
      <c r="I199" s="79"/>
      <c r="J199" s="78"/>
      <c r="K199" s="80"/>
      <c r="L199" s="41">
        <f>('Materials Unit Costs'!$F$8*'Pavement Options'!J199)/1000000</f>
        <v>0</v>
      </c>
      <c r="M199" s="142"/>
    </row>
    <row r="200" spans="3:13" ht="14.5" customHeight="1" x14ac:dyDescent="0.35">
      <c r="C200" s="148"/>
      <c r="D200" s="148"/>
      <c r="E200" s="148"/>
      <c r="F200" s="1" t="s">
        <v>112</v>
      </c>
      <c r="G200" s="81"/>
      <c r="H200" s="99"/>
      <c r="I200" s="78">
        <f t="shared" ref="I200:I207" si="24">$D$196*$E$196*H200</f>
        <v>0</v>
      </c>
      <c r="J200" s="78">
        <f t="shared" ref="J200:J253" si="25">I200*K200/1000</f>
        <v>0</v>
      </c>
      <c r="K200" s="81">
        <v>2000</v>
      </c>
      <c r="L200" s="55">
        <f>(IF(G200="",0,IFERROR(VLOOKUP(G200, 'Materials Unit Costs'!$C$10:$F$79, 4, FALSE) * I200, "")))/1000000</f>
        <v>0</v>
      </c>
      <c r="M200" s="142"/>
    </row>
    <row r="201" spans="3:13" ht="14.5" customHeight="1" x14ac:dyDescent="0.35">
      <c r="C201" s="148"/>
      <c r="D201" s="148"/>
      <c r="E201" s="148"/>
      <c r="F201" s="1" t="s">
        <v>111</v>
      </c>
      <c r="G201" s="81"/>
      <c r="H201" s="99"/>
      <c r="I201" s="78">
        <f t="shared" si="24"/>
        <v>0</v>
      </c>
      <c r="J201" s="78">
        <f t="shared" si="25"/>
        <v>0</v>
      </c>
      <c r="K201" s="81">
        <v>1800</v>
      </c>
      <c r="L201" s="55">
        <f>(IF(G201="",0,IFERROR(VLOOKUP(G201, 'Materials Unit Costs'!$C$10:$F$79, 4, FALSE) * I201, "")))/1000000</f>
        <v>0</v>
      </c>
      <c r="M201" s="142"/>
    </row>
    <row r="202" spans="3:13" ht="14.5" customHeight="1" x14ac:dyDescent="0.35">
      <c r="C202" s="148"/>
      <c r="D202" s="148"/>
      <c r="E202" s="148"/>
      <c r="F202" s="1" t="s">
        <v>100</v>
      </c>
      <c r="G202" s="81"/>
      <c r="H202" s="99"/>
      <c r="I202" s="78">
        <f t="shared" si="24"/>
        <v>0</v>
      </c>
      <c r="J202" s="78">
        <f t="shared" si="25"/>
        <v>0</v>
      </c>
      <c r="K202" s="81">
        <v>1800</v>
      </c>
      <c r="L202" s="55">
        <f>(IF(G202="",0,IFERROR(VLOOKUP(G202, 'Materials Unit Costs'!$C$10:$F$79, 4, FALSE) * I202, "")))/1000000</f>
        <v>0</v>
      </c>
      <c r="M202" s="142"/>
    </row>
    <row r="203" spans="3:13" ht="14.5" customHeight="1" x14ac:dyDescent="0.35">
      <c r="C203" s="148"/>
      <c r="D203" s="148"/>
      <c r="E203" s="148"/>
      <c r="F203" s="1" t="s">
        <v>101</v>
      </c>
      <c r="G203" s="81"/>
      <c r="H203" s="99"/>
      <c r="I203" s="78">
        <f t="shared" si="24"/>
        <v>0</v>
      </c>
      <c r="J203" s="78">
        <f t="shared" si="25"/>
        <v>0</v>
      </c>
      <c r="K203" s="81">
        <v>1800</v>
      </c>
      <c r="L203" s="55">
        <f>(IF(G203="",0,IFERROR(VLOOKUP(G203, 'Materials Unit Costs'!$C$10:$F$79, 4, FALSE) * I203, "")))/1000000</f>
        <v>0</v>
      </c>
      <c r="M203" s="142"/>
    </row>
    <row r="204" spans="3:13" ht="14.5" customHeight="1" x14ac:dyDescent="0.35">
      <c r="C204" s="148"/>
      <c r="D204" s="148"/>
      <c r="E204" s="148"/>
      <c r="F204" s="1" t="s">
        <v>103</v>
      </c>
      <c r="G204" s="81"/>
      <c r="H204" s="99"/>
      <c r="I204" s="78">
        <f t="shared" si="24"/>
        <v>0</v>
      </c>
      <c r="J204" s="78">
        <f t="shared" si="25"/>
        <v>0</v>
      </c>
      <c r="K204" s="81">
        <v>1700</v>
      </c>
      <c r="L204" s="55">
        <f>(IF(G204="",0,IFERROR(VLOOKUP(G204, 'Materials Unit Costs'!$C$10:$F$79, 4, FALSE) * I204, "")))/1000000</f>
        <v>0</v>
      </c>
      <c r="M204" s="142"/>
    </row>
    <row r="205" spans="3:13" ht="14.5" customHeight="1" x14ac:dyDescent="0.35">
      <c r="C205" s="148"/>
      <c r="D205" s="148"/>
      <c r="E205" s="148"/>
      <c r="F205" s="1" t="s">
        <v>102</v>
      </c>
      <c r="G205" s="81"/>
      <c r="H205" s="99"/>
      <c r="I205" s="78">
        <f t="shared" si="24"/>
        <v>0</v>
      </c>
      <c r="J205" s="78">
        <f t="shared" si="25"/>
        <v>0</v>
      </c>
      <c r="K205" s="81">
        <v>1700</v>
      </c>
      <c r="L205" s="55">
        <f>(IF(G205="",0,IFERROR(VLOOKUP(G205, 'Materials Unit Costs'!$C$10:$F$79, 4, FALSE) * I205, "")))/1000000</f>
        <v>0</v>
      </c>
      <c r="M205" s="142"/>
    </row>
    <row r="206" spans="3:13" ht="14.5" customHeight="1" x14ac:dyDescent="0.35">
      <c r="C206" s="148"/>
      <c r="D206" s="148"/>
      <c r="E206" s="148"/>
      <c r="F206" s="1" t="s">
        <v>104</v>
      </c>
      <c r="G206" s="81"/>
      <c r="H206" s="99"/>
      <c r="I206" s="78">
        <f t="shared" si="24"/>
        <v>0</v>
      </c>
      <c r="J206" s="78">
        <f t="shared" si="25"/>
        <v>0</v>
      </c>
      <c r="K206" s="81">
        <v>2400</v>
      </c>
      <c r="L206" s="55">
        <f>(IF(G206="",0,IFERROR(VLOOKUP(G206, 'Materials Unit Costs'!$C$10:$F$79, 4, FALSE) * I206, "")))/1000000</f>
        <v>0</v>
      </c>
      <c r="M206" s="142"/>
    </row>
    <row r="207" spans="3:13" ht="14.5" customHeight="1" x14ac:dyDescent="0.35">
      <c r="C207" s="148"/>
      <c r="D207" s="148"/>
      <c r="E207" s="148"/>
      <c r="F207" s="1" t="s">
        <v>105</v>
      </c>
      <c r="G207" s="81"/>
      <c r="H207" s="99"/>
      <c r="I207" s="78">
        <f t="shared" si="24"/>
        <v>0</v>
      </c>
      <c r="J207" s="78">
        <f t="shared" si="25"/>
        <v>0</v>
      </c>
      <c r="K207" s="81">
        <v>2400</v>
      </c>
      <c r="L207" s="55">
        <f>(IF(G207="",0,IFERROR(VLOOKUP(G207, 'Materials Unit Costs'!$C$10:$F$79, 4, FALSE) * I207, "")))/1000000</f>
        <v>0</v>
      </c>
      <c r="M207" s="142"/>
    </row>
    <row r="208" spans="3:13" ht="14.5" customHeight="1" x14ac:dyDescent="0.35">
      <c r="C208" s="148"/>
      <c r="D208" s="148"/>
      <c r="E208" s="148"/>
      <c r="F208" s="1" t="s">
        <v>106</v>
      </c>
      <c r="G208" s="81"/>
      <c r="H208" s="99"/>
      <c r="I208" s="78">
        <f>$D$196*$E$196*1000</f>
        <v>200000</v>
      </c>
      <c r="J208" s="78">
        <f>I208*K208*(H208/1000)/1000</f>
        <v>0</v>
      </c>
      <c r="K208" s="81">
        <v>1800</v>
      </c>
      <c r="L208" s="55">
        <f>(IF(G208="",0,IFERROR(VLOOKUP(G208, 'Materials Unit Costs'!$C$10:$F$79, 4, FALSE) * I208, "")))/1000000</f>
        <v>0</v>
      </c>
      <c r="M208" s="142"/>
    </row>
    <row r="209" spans="3:13" ht="14.5" customHeight="1" x14ac:dyDescent="0.35">
      <c r="C209" s="148"/>
      <c r="D209" s="148"/>
      <c r="E209" s="148"/>
      <c r="F209" s="1" t="s">
        <v>184</v>
      </c>
      <c r="G209" s="81"/>
      <c r="H209" s="99"/>
      <c r="I209" s="78">
        <f>$D$196*$E$196*H209</f>
        <v>0</v>
      </c>
      <c r="J209" s="78">
        <f>I209*K209/1000</f>
        <v>0</v>
      </c>
      <c r="K209" s="81">
        <v>2400</v>
      </c>
      <c r="L209" s="55">
        <f>(IF(G209="",0,IFERROR(VLOOKUP(G209, 'Materials Unit Costs'!$C$10:$F$79, 4, FALSE) * I209, "")))/1000000</f>
        <v>0</v>
      </c>
      <c r="M209" s="142"/>
    </row>
    <row r="210" spans="3:13" ht="14.5" customHeight="1" x14ac:dyDescent="0.35">
      <c r="C210" s="148"/>
      <c r="D210" s="148"/>
      <c r="E210" s="148"/>
      <c r="F210" s="1" t="s">
        <v>185</v>
      </c>
      <c r="G210" s="81"/>
      <c r="H210" s="99"/>
      <c r="I210" s="78">
        <f>$D$196*$E$196*1000</f>
        <v>200000</v>
      </c>
      <c r="J210" s="78">
        <f>I210*K210*(H210/1000)/1000</f>
        <v>0</v>
      </c>
      <c r="K210" s="81">
        <v>1800</v>
      </c>
      <c r="L210" s="55">
        <f>(IF(G210="",0,IFERROR(VLOOKUP(G210, 'Materials Unit Costs'!$C$10:$F$79, 4, FALSE) * I210, "")))/1000000</f>
        <v>0</v>
      </c>
      <c r="M210" s="142"/>
    </row>
    <row r="211" spans="3:13" ht="14.5" customHeight="1" x14ac:dyDescent="0.35">
      <c r="C211" s="148"/>
      <c r="D211" s="148"/>
      <c r="E211" s="148"/>
      <c r="F211" s="1" t="s">
        <v>188</v>
      </c>
      <c r="G211" s="81"/>
      <c r="H211" s="99"/>
      <c r="I211" s="78">
        <f>$D$196*$E$196</f>
        <v>200</v>
      </c>
      <c r="J211" s="78">
        <f t="shared" si="25"/>
        <v>200</v>
      </c>
      <c r="K211" s="81">
        <v>1000</v>
      </c>
      <c r="L211" s="55">
        <f>(IF(G211="",0,IFERROR(VLOOKUP(G211, 'Materials Unit Costs'!$C$10:$F$79, 4, FALSE) * I211, "")))*1000/1000000</f>
        <v>0</v>
      </c>
      <c r="M211" s="142"/>
    </row>
    <row r="212" spans="3:13" ht="14.5" customHeight="1" x14ac:dyDescent="0.35">
      <c r="C212" s="148"/>
      <c r="D212" s="148"/>
      <c r="E212" s="148"/>
      <c r="F212" s="1" t="s">
        <v>189</v>
      </c>
      <c r="G212" s="81"/>
      <c r="H212" s="99"/>
      <c r="I212" s="78">
        <f t="shared" ref="I212:I213" si="26">$D$196*$E$196</f>
        <v>200</v>
      </c>
      <c r="J212" s="78">
        <f t="shared" si="25"/>
        <v>200</v>
      </c>
      <c r="K212" s="81">
        <v>1000</v>
      </c>
      <c r="L212" s="55">
        <f>(IF(G212="",0,IFERROR(VLOOKUP(G212, 'Materials Unit Costs'!$C$10:$F$79, 4, FALSE) * I212, "")))*1000/1000000</f>
        <v>0</v>
      </c>
      <c r="M212" s="142"/>
    </row>
    <row r="213" spans="3:13" ht="14.5" customHeight="1" x14ac:dyDescent="0.35">
      <c r="C213" s="148"/>
      <c r="D213" s="148"/>
      <c r="E213" s="148"/>
      <c r="F213" s="1" t="s">
        <v>195</v>
      </c>
      <c r="G213" s="81"/>
      <c r="H213" s="99"/>
      <c r="I213" s="78">
        <f t="shared" si="26"/>
        <v>200</v>
      </c>
      <c r="J213" s="78">
        <f t="shared" si="25"/>
        <v>200</v>
      </c>
      <c r="K213" s="81">
        <v>1000</v>
      </c>
      <c r="L213" s="55">
        <f>(IF(G213="",0,IFERROR(VLOOKUP(G213, 'Materials Unit Costs'!$C$10:$F$79, 4, FALSE) * I213, "")))*1000/1000000</f>
        <v>0</v>
      </c>
      <c r="M213" s="142"/>
    </row>
    <row r="214" spans="3:13" ht="14.5" customHeight="1" x14ac:dyDescent="0.35">
      <c r="C214" s="148"/>
      <c r="D214" s="148"/>
      <c r="E214" s="148"/>
      <c r="F214" s="1" t="s">
        <v>186</v>
      </c>
      <c r="G214" s="81"/>
      <c r="H214" s="99"/>
      <c r="I214" s="78">
        <f t="shared" ref="I214" si="27">$D$196*$E$196*H214</f>
        <v>0</v>
      </c>
      <c r="J214" s="78">
        <f>I214*K214/1000</f>
        <v>0</v>
      </c>
      <c r="K214" s="81">
        <v>2400</v>
      </c>
      <c r="L214" s="55">
        <f>(IF(G214="",0,IFERROR(VLOOKUP(G214, 'Materials Unit Costs'!$C$10:$F$79, 4, FALSE) * I214, "")))/1000000</f>
        <v>0</v>
      </c>
      <c r="M214" s="142"/>
    </row>
    <row r="215" spans="3:13" ht="14.5" customHeight="1" x14ac:dyDescent="0.35">
      <c r="C215" s="149"/>
      <c r="D215" s="149"/>
      <c r="E215" s="149"/>
      <c r="F215" s="1" t="s">
        <v>187</v>
      </c>
      <c r="G215" s="81"/>
      <c r="H215" s="99"/>
      <c r="I215" s="78"/>
      <c r="J215" s="78"/>
      <c r="K215" s="81">
        <v>7750</v>
      </c>
      <c r="L215" s="55">
        <f>(IF(G215="",0,IFERROR(VLOOKUP(G215, 'Materials Unit Costs'!$C$10:$F$79, 4, FALSE) * I215, "")))/1000000</f>
        <v>0</v>
      </c>
      <c r="M215" s="143"/>
    </row>
    <row r="216" spans="3:13" ht="14.5" customHeight="1" x14ac:dyDescent="0.35">
      <c r="C216" s="147">
        <v>2</v>
      </c>
      <c r="D216" s="147">
        <v>30</v>
      </c>
      <c r="E216" s="147">
        <v>10</v>
      </c>
      <c r="F216" s="1" t="s">
        <v>159</v>
      </c>
      <c r="G216" s="98"/>
      <c r="H216" s="99"/>
      <c r="I216" s="78"/>
      <c r="J216" s="79"/>
      <c r="K216" s="80"/>
      <c r="L216" s="41">
        <f>('Materials Unit Costs'!$F$5*'Pavement Options'!I216)/1000000</f>
        <v>0</v>
      </c>
      <c r="M216" s="141">
        <f>SUM(L216:L235)</f>
        <v>0</v>
      </c>
    </row>
    <row r="217" spans="3:13" ht="14.5" customHeight="1" x14ac:dyDescent="0.35">
      <c r="C217" s="148"/>
      <c r="D217" s="148"/>
      <c r="E217" s="148"/>
      <c r="F217" s="1" t="s">
        <v>68</v>
      </c>
      <c r="G217" s="98"/>
      <c r="H217" s="99"/>
      <c r="I217" s="78">
        <f>$D$216*$E$216*H217</f>
        <v>0</v>
      </c>
      <c r="J217" s="79"/>
      <c r="K217" s="81">
        <v>2100</v>
      </c>
      <c r="L217" s="41">
        <f>('Materials Unit Costs'!$F$6*'Pavement Options'!I217)/1000000</f>
        <v>0</v>
      </c>
      <c r="M217" s="142"/>
    </row>
    <row r="218" spans="3:13" ht="14.5" customHeight="1" x14ac:dyDescent="0.35">
      <c r="C218" s="148"/>
      <c r="D218" s="148"/>
      <c r="E218" s="148"/>
      <c r="F218" s="1" t="s">
        <v>204</v>
      </c>
      <c r="G218" s="98"/>
      <c r="H218" s="99"/>
      <c r="I218" s="78">
        <f>$D$216*$E$216*H218</f>
        <v>0</v>
      </c>
      <c r="J218" s="78">
        <f>I218*K218/1000</f>
        <v>0</v>
      </c>
      <c r="K218" s="81">
        <v>2100</v>
      </c>
      <c r="L218" s="41">
        <f>('Materials Unit Costs'!$F$7*'Pavement Options'!I218)/1000000</f>
        <v>0</v>
      </c>
      <c r="M218" s="142"/>
    </row>
    <row r="219" spans="3:13" ht="14.5" customHeight="1" x14ac:dyDescent="0.35">
      <c r="C219" s="148"/>
      <c r="D219" s="148"/>
      <c r="E219" s="148"/>
      <c r="F219" s="1" t="s">
        <v>160</v>
      </c>
      <c r="G219" s="98"/>
      <c r="H219" s="99"/>
      <c r="I219" s="79"/>
      <c r="J219" s="78"/>
      <c r="K219" s="80"/>
      <c r="L219" s="41">
        <f>('Materials Unit Costs'!$F$8*'Pavement Options'!J219)/1000000</f>
        <v>0</v>
      </c>
      <c r="M219" s="142"/>
    </row>
    <row r="220" spans="3:13" ht="14.5" customHeight="1" x14ac:dyDescent="0.35">
      <c r="C220" s="148"/>
      <c r="D220" s="148"/>
      <c r="E220" s="148"/>
      <c r="F220" s="1" t="s">
        <v>112</v>
      </c>
      <c r="G220" s="81"/>
      <c r="H220" s="99"/>
      <c r="I220" s="78">
        <f t="shared" ref="I220:I227" si="28">$D$216*$E$216*H220</f>
        <v>0</v>
      </c>
      <c r="J220" s="78">
        <f t="shared" si="25"/>
        <v>0</v>
      </c>
      <c r="K220" s="81">
        <v>2000</v>
      </c>
      <c r="L220" s="55">
        <f>(IF(G220="",0,IFERROR(VLOOKUP(G220, 'Materials Unit Costs'!$C$10:$F$79, 4, FALSE) * I220, "")))/1000000</f>
        <v>0</v>
      </c>
      <c r="M220" s="142"/>
    </row>
    <row r="221" spans="3:13" ht="14.5" customHeight="1" x14ac:dyDescent="0.35">
      <c r="C221" s="148"/>
      <c r="D221" s="148"/>
      <c r="E221" s="148"/>
      <c r="F221" s="1" t="s">
        <v>111</v>
      </c>
      <c r="G221" s="81"/>
      <c r="H221" s="99"/>
      <c r="I221" s="78">
        <f t="shared" si="28"/>
        <v>0</v>
      </c>
      <c r="J221" s="78">
        <f t="shared" si="25"/>
        <v>0</v>
      </c>
      <c r="K221" s="81">
        <v>1800</v>
      </c>
      <c r="L221" s="55">
        <f>(IF(G221="",0,IFERROR(VLOOKUP(G221, 'Materials Unit Costs'!$C$10:$F$79, 4, FALSE) * I221, "")))/1000000</f>
        <v>0</v>
      </c>
      <c r="M221" s="142"/>
    </row>
    <row r="222" spans="3:13" ht="14.5" customHeight="1" x14ac:dyDescent="0.35">
      <c r="C222" s="148"/>
      <c r="D222" s="148"/>
      <c r="E222" s="148"/>
      <c r="F222" s="1" t="s">
        <v>100</v>
      </c>
      <c r="G222" s="81"/>
      <c r="H222" s="99"/>
      <c r="I222" s="78">
        <f t="shared" si="28"/>
        <v>0</v>
      </c>
      <c r="J222" s="78">
        <f t="shared" si="25"/>
        <v>0</v>
      </c>
      <c r="K222" s="81">
        <v>1800</v>
      </c>
      <c r="L222" s="55">
        <f>(IF(G222="",0,IFERROR(VLOOKUP(G222, 'Materials Unit Costs'!$C$10:$F$79, 4, FALSE) * I222, "")))/1000000</f>
        <v>0</v>
      </c>
      <c r="M222" s="142"/>
    </row>
    <row r="223" spans="3:13" ht="14.5" customHeight="1" x14ac:dyDescent="0.35">
      <c r="C223" s="148"/>
      <c r="D223" s="148"/>
      <c r="E223" s="148"/>
      <c r="F223" s="1" t="s">
        <v>101</v>
      </c>
      <c r="G223" s="81"/>
      <c r="H223" s="99"/>
      <c r="I223" s="78">
        <f t="shared" si="28"/>
        <v>0</v>
      </c>
      <c r="J223" s="78">
        <f t="shared" si="25"/>
        <v>0</v>
      </c>
      <c r="K223" s="81">
        <v>1800</v>
      </c>
      <c r="L223" s="55">
        <f>(IF(G223="",0,IFERROR(VLOOKUP(G223, 'Materials Unit Costs'!$C$10:$F$79, 4, FALSE) * I223, "")))/1000000</f>
        <v>0</v>
      </c>
      <c r="M223" s="142"/>
    </row>
    <row r="224" spans="3:13" ht="14.5" customHeight="1" x14ac:dyDescent="0.35">
      <c r="C224" s="148"/>
      <c r="D224" s="148"/>
      <c r="E224" s="148"/>
      <c r="F224" s="1" t="s">
        <v>103</v>
      </c>
      <c r="G224" s="81"/>
      <c r="H224" s="99"/>
      <c r="I224" s="78">
        <f t="shared" si="28"/>
        <v>0</v>
      </c>
      <c r="J224" s="78">
        <f t="shared" si="25"/>
        <v>0</v>
      </c>
      <c r="K224" s="81">
        <v>1700</v>
      </c>
      <c r="L224" s="55">
        <f>(IF(G224="",0,IFERROR(VLOOKUP(G224, 'Materials Unit Costs'!$C$10:$F$79, 4, FALSE) * I224, "")))/1000000</f>
        <v>0</v>
      </c>
      <c r="M224" s="142"/>
    </row>
    <row r="225" spans="3:13" ht="14.5" customHeight="1" x14ac:dyDescent="0.35">
      <c r="C225" s="148"/>
      <c r="D225" s="148"/>
      <c r="E225" s="148"/>
      <c r="F225" s="1" t="s">
        <v>102</v>
      </c>
      <c r="G225" s="81"/>
      <c r="H225" s="99"/>
      <c r="I225" s="78">
        <f t="shared" si="28"/>
        <v>0</v>
      </c>
      <c r="J225" s="78">
        <f t="shared" si="25"/>
        <v>0</v>
      </c>
      <c r="K225" s="81">
        <v>1700</v>
      </c>
      <c r="L225" s="55">
        <f>(IF(G225="",0,IFERROR(VLOOKUP(G225, 'Materials Unit Costs'!$C$10:$F$79, 4, FALSE) * I225, "")))/1000000</f>
        <v>0</v>
      </c>
      <c r="M225" s="142"/>
    </row>
    <row r="226" spans="3:13" ht="14.5" customHeight="1" x14ac:dyDescent="0.35">
      <c r="C226" s="148"/>
      <c r="D226" s="148"/>
      <c r="E226" s="148"/>
      <c r="F226" s="1" t="s">
        <v>104</v>
      </c>
      <c r="G226" s="81"/>
      <c r="H226" s="99"/>
      <c r="I226" s="78">
        <f t="shared" si="28"/>
        <v>0</v>
      </c>
      <c r="J226" s="78">
        <f t="shared" si="25"/>
        <v>0</v>
      </c>
      <c r="K226" s="81">
        <v>2400</v>
      </c>
      <c r="L226" s="55">
        <f>(IF(G226="",0,IFERROR(VLOOKUP(G226, 'Materials Unit Costs'!$C$10:$F$79, 4, FALSE) * I226, "")))/1000000</f>
        <v>0</v>
      </c>
      <c r="M226" s="142"/>
    </row>
    <row r="227" spans="3:13" ht="14.5" customHeight="1" x14ac:dyDescent="0.35">
      <c r="C227" s="148"/>
      <c r="D227" s="148"/>
      <c r="E227" s="148"/>
      <c r="F227" s="1" t="s">
        <v>105</v>
      </c>
      <c r="G227" s="81"/>
      <c r="H227" s="99"/>
      <c r="I227" s="78">
        <f t="shared" si="28"/>
        <v>0</v>
      </c>
      <c r="J227" s="78">
        <f t="shared" si="25"/>
        <v>0</v>
      </c>
      <c r="K227" s="81">
        <v>2400</v>
      </c>
      <c r="L227" s="55">
        <f>(IF(G227="",0,IFERROR(VLOOKUP(G227, 'Materials Unit Costs'!$C$10:$F$79, 4, FALSE) * I227, "")))/1000000</f>
        <v>0</v>
      </c>
      <c r="M227" s="142"/>
    </row>
    <row r="228" spans="3:13" ht="14.5" customHeight="1" x14ac:dyDescent="0.35">
      <c r="C228" s="148"/>
      <c r="D228" s="148"/>
      <c r="E228" s="148"/>
      <c r="F228" s="1" t="s">
        <v>106</v>
      </c>
      <c r="G228" s="81"/>
      <c r="H228" s="99"/>
      <c r="I228" s="78">
        <f>$D$216*$E$216*1000</f>
        <v>300000</v>
      </c>
      <c r="J228" s="78">
        <f>I228*K228*(H228/1000)/1000</f>
        <v>0</v>
      </c>
      <c r="K228" s="81">
        <v>1800</v>
      </c>
      <c r="L228" s="55">
        <f>(IF(G228="",0,IFERROR(VLOOKUP(G228, 'Materials Unit Costs'!$C$10:$F$79, 4, FALSE) * I228, "")))/1000000</f>
        <v>0</v>
      </c>
      <c r="M228" s="142"/>
    </row>
    <row r="229" spans="3:13" ht="14.5" customHeight="1" x14ac:dyDescent="0.35">
      <c r="C229" s="148"/>
      <c r="D229" s="148"/>
      <c r="E229" s="148"/>
      <c r="F229" s="1" t="s">
        <v>184</v>
      </c>
      <c r="G229" s="81"/>
      <c r="H229" s="99"/>
      <c r="I229" s="78">
        <f>$D$216*$E$216*H229</f>
        <v>0</v>
      </c>
      <c r="J229" s="78">
        <f>I229*K229/1000</f>
        <v>0</v>
      </c>
      <c r="K229" s="81">
        <v>2400</v>
      </c>
      <c r="L229" s="55">
        <f>(IF(G229="",0,IFERROR(VLOOKUP(G229, 'Materials Unit Costs'!$C$10:$F$79, 4, FALSE) * I229, "")))/1000000</f>
        <v>0</v>
      </c>
      <c r="M229" s="142"/>
    </row>
    <row r="230" spans="3:13" ht="14.5" customHeight="1" x14ac:dyDescent="0.35">
      <c r="C230" s="148"/>
      <c r="D230" s="148"/>
      <c r="E230" s="148"/>
      <c r="F230" s="1" t="s">
        <v>185</v>
      </c>
      <c r="G230" s="81"/>
      <c r="H230" s="99"/>
      <c r="I230" s="78">
        <f>$D$216*$E$216*1000</f>
        <v>300000</v>
      </c>
      <c r="J230" s="78">
        <f>I230*K230*(H230/1000)/1000</f>
        <v>0</v>
      </c>
      <c r="K230" s="81">
        <v>1800</v>
      </c>
      <c r="L230" s="55">
        <f>(IF(G230="",0,IFERROR(VLOOKUP(G230, 'Materials Unit Costs'!$C$10:$F$79, 4, FALSE) * I230, "")))/1000000</f>
        <v>0</v>
      </c>
      <c r="M230" s="142"/>
    </row>
    <row r="231" spans="3:13" ht="14.5" customHeight="1" x14ac:dyDescent="0.35">
      <c r="C231" s="148"/>
      <c r="D231" s="148"/>
      <c r="E231" s="148"/>
      <c r="F231" s="1" t="s">
        <v>188</v>
      </c>
      <c r="G231" s="81"/>
      <c r="H231" s="99"/>
      <c r="I231" s="78">
        <f>$D$216*$E$216</f>
        <v>300</v>
      </c>
      <c r="J231" s="78">
        <f t="shared" ref="J231:J233" si="29">I231*K231/1000</f>
        <v>300</v>
      </c>
      <c r="K231" s="81">
        <v>1000</v>
      </c>
      <c r="L231" s="55">
        <f>(IF(G231="",0,IFERROR(VLOOKUP(G231, 'Materials Unit Costs'!$C$10:$F$79, 4, FALSE) * I231, "")))*1000/1000000</f>
        <v>0</v>
      </c>
      <c r="M231" s="142"/>
    </row>
    <row r="232" spans="3:13" ht="14.5" customHeight="1" x14ac:dyDescent="0.35">
      <c r="C232" s="148"/>
      <c r="D232" s="148"/>
      <c r="E232" s="148"/>
      <c r="F232" s="1" t="s">
        <v>189</v>
      </c>
      <c r="G232" s="81"/>
      <c r="H232" s="99"/>
      <c r="I232" s="78">
        <f>$D$216*$E$216</f>
        <v>300</v>
      </c>
      <c r="J232" s="78">
        <f t="shared" si="29"/>
        <v>300</v>
      </c>
      <c r="K232" s="81">
        <v>1000</v>
      </c>
      <c r="L232" s="55">
        <f>(IF(G232="",0,IFERROR(VLOOKUP(G232, 'Materials Unit Costs'!$C$10:$F$79, 4, FALSE) * I232, "")))*1000/1000000</f>
        <v>0</v>
      </c>
      <c r="M232" s="142"/>
    </row>
    <row r="233" spans="3:13" ht="14.5" customHeight="1" x14ac:dyDescent="0.35">
      <c r="C233" s="148"/>
      <c r="D233" s="148"/>
      <c r="E233" s="148"/>
      <c r="F233" s="1" t="s">
        <v>195</v>
      </c>
      <c r="G233" s="81"/>
      <c r="H233" s="99"/>
      <c r="I233" s="78">
        <f>$D$216*$E$216</f>
        <v>300</v>
      </c>
      <c r="J233" s="78">
        <f t="shared" si="29"/>
        <v>300</v>
      </c>
      <c r="K233" s="81">
        <v>1000</v>
      </c>
      <c r="L233" s="55">
        <f>(IF(G233="",0,IFERROR(VLOOKUP(G233, 'Materials Unit Costs'!$C$10:$F$79, 4, FALSE) * I233, "")))*1000/1000000</f>
        <v>0</v>
      </c>
      <c r="M233" s="142"/>
    </row>
    <row r="234" spans="3:13" ht="14.5" customHeight="1" x14ac:dyDescent="0.35">
      <c r="C234" s="148"/>
      <c r="D234" s="148"/>
      <c r="E234" s="148"/>
      <c r="F234" s="1" t="s">
        <v>186</v>
      </c>
      <c r="G234" s="81"/>
      <c r="H234" s="99"/>
      <c r="I234" s="78">
        <f>$D$216*$E$216*H234</f>
        <v>0</v>
      </c>
      <c r="J234" s="78">
        <f t="shared" ref="J234" si="30">I234*K234/1000</f>
        <v>0</v>
      </c>
      <c r="K234" s="81">
        <v>2400</v>
      </c>
      <c r="L234" s="55">
        <f>(IF(G234="",0,IFERROR(VLOOKUP(G234, 'Materials Unit Costs'!$C$10:$F$79, 4, FALSE) * I234, "")))/1000000</f>
        <v>0</v>
      </c>
      <c r="M234" s="142"/>
    </row>
    <row r="235" spans="3:13" ht="14.5" customHeight="1" x14ac:dyDescent="0.35">
      <c r="C235" s="149"/>
      <c r="D235" s="149"/>
      <c r="E235" s="149"/>
      <c r="F235" s="1" t="s">
        <v>187</v>
      </c>
      <c r="G235" s="81"/>
      <c r="H235" s="99"/>
      <c r="I235" s="78"/>
      <c r="J235" s="78"/>
      <c r="K235" s="81">
        <v>7750</v>
      </c>
      <c r="L235" s="55">
        <f>(IF(G235="",0,IFERROR(VLOOKUP(G235, 'Materials Unit Costs'!$C$10:$F$79, 4, FALSE) * J235, "")))/1000000</f>
        <v>0</v>
      </c>
      <c r="M235" s="143"/>
    </row>
    <row r="236" spans="3:13" ht="14.5" customHeight="1" x14ac:dyDescent="0.35">
      <c r="C236" s="147">
        <v>3</v>
      </c>
      <c r="D236" s="147">
        <v>40</v>
      </c>
      <c r="E236" s="147">
        <v>10</v>
      </c>
      <c r="F236" s="1" t="s">
        <v>159</v>
      </c>
      <c r="G236" s="98"/>
      <c r="H236" s="99"/>
      <c r="I236" s="78"/>
      <c r="J236" s="79"/>
      <c r="K236" s="80"/>
      <c r="L236" s="41">
        <f>('Materials Unit Costs'!$F$5*'Pavement Options'!I236)/1000000</f>
        <v>0</v>
      </c>
      <c r="M236" s="141">
        <f>SUM(L236:L255)</f>
        <v>0</v>
      </c>
    </row>
    <row r="237" spans="3:13" ht="14.5" customHeight="1" x14ac:dyDescent="0.35">
      <c r="C237" s="148"/>
      <c r="D237" s="148"/>
      <c r="E237" s="148"/>
      <c r="F237" s="1" t="s">
        <v>68</v>
      </c>
      <c r="G237" s="98"/>
      <c r="H237" s="99"/>
      <c r="I237" s="78">
        <f>$D$236*$E$236*H237</f>
        <v>0</v>
      </c>
      <c r="J237" s="79"/>
      <c r="K237" s="81">
        <v>2100</v>
      </c>
      <c r="L237" s="41">
        <f>('Materials Unit Costs'!$F$6*'Pavement Options'!I237)/1000000</f>
        <v>0</v>
      </c>
      <c r="M237" s="142"/>
    </row>
    <row r="238" spans="3:13" ht="14.5" customHeight="1" x14ac:dyDescent="0.35">
      <c r="C238" s="148"/>
      <c r="D238" s="148"/>
      <c r="E238" s="148"/>
      <c r="F238" s="1" t="s">
        <v>204</v>
      </c>
      <c r="G238" s="98"/>
      <c r="H238" s="99"/>
      <c r="I238" s="78">
        <f>$D$236*$E$236*H238</f>
        <v>0</v>
      </c>
      <c r="J238" s="78">
        <f>I238*K238/1000</f>
        <v>0</v>
      </c>
      <c r="K238" s="81">
        <v>2100</v>
      </c>
      <c r="L238" s="41">
        <f>('Materials Unit Costs'!$F$7*'Pavement Options'!I238)/1000000</f>
        <v>0</v>
      </c>
      <c r="M238" s="142"/>
    </row>
    <row r="239" spans="3:13" ht="14.5" customHeight="1" x14ac:dyDescent="0.35">
      <c r="C239" s="148"/>
      <c r="D239" s="148"/>
      <c r="E239" s="148"/>
      <c r="F239" s="1" t="s">
        <v>160</v>
      </c>
      <c r="G239" s="98"/>
      <c r="H239" s="99"/>
      <c r="I239" s="79"/>
      <c r="J239" s="78"/>
      <c r="K239" s="80"/>
      <c r="L239" s="41">
        <f>('Materials Unit Costs'!$F$8*'Pavement Options'!J239)/1000000</f>
        <v>0</v>
      </c>
      <c r="M239" s="142"/>
    </row>
    <row r="240" spans="3:13" ht="14.5" customHeight="1" x14ac:dyDescent="0.35">
      <c r="C240" s="148"/>
      <c r="D240" s="148"/>
      <c r="E240" s="148"/>
      <c r="F240" s="1" t="s">
        <v>112</v>
      </c>
      <c r="G240" s="81"/>
      <c r="H240" s="99"/>
      <c r="I240" s="78">
        <f t="shared" ref="I240:I247" si="31">$D$236*$E$236*H240</f>
        <v>0</v>
      </c>
      <c r="J240" s="78">
        <f t="shared" si="25"/>
        <v>0</v>
      </c>
      <c r="K240" s="81">
        <v>2000</v>
      </c>
      <c r="L240" s="55">
        <f>(IF(G240="",0,IFERROR(VLOOKUP(G240, 'Materials Unit Costs'!$C$10:$F$79, 4, FALSE) * I240, "")))/1000000</f>
        <v>0</v>
      </c>
      <c r="M240" s="142"/>
    </row>
    <row r="241" spans="3:13" ht="14.5" customHeight="1" x14ac:dyDescent="0.35">
      <c r="C241" s="148"/>
      <c r="D241" s="148"/>
      <c r="E241" s="148"/>
      <c r="F241" s="1" t="s">
        <v>111</v>
      </c>
      <c r="G241" s="81"/>
      <c r="H241" s="99"/>
      <c r="I241" s="78">
        <f t="shared" si="31"/>
        <v>0</v>
      </c>
      <c r="J241" s="78">
        <f t="shared" si="25"/>
        <v>0</v>
      </c>
      <c r="K241" s="81">
        <v>1800</v>
      </c>
      <c r="L241" s="55">
        <f>(IF(G241="",0,IFERROR(VLOOKUP(G241, 'Materials Unit Costs'!$C$10:$F$79, 4, FALSE) * I241, "")))/1000000</f>
        <v>0</v>
      </c>
      <c r="M241" s="142"/>
    </row>
    <row r="242" spans="3:13" ht="14.5" customHeight="1" x14ac:dyDescent="0.35">
      <c r="C242" s="148"/>
      <c r="D242" s="148"/>
      <c r="E242" s="148"/>
      <c r="F242" s="1" t="s">
        <v>100</v>
      </c>
      <c r="G242" s="81"/>
      <c r="H242" s="99"/>
      <c r="I242" s="78">
        <f t="shared" si="31"/>
        <v>0</v>
      </c>
      <c r="J242" s="78">
        <f t="shared" si="25"/>
        <v>0</v>
      </c>
      <c r="K242" s="81">
        <v>1800</v>
      </c>
      <c r="L242" s="55">
        <f>(IF(G242="",0,IFERROR(VLOOKUP(G242, 'Materials Unit Costs'!$C$10:$F$79, 4, FALSE) * I242, "")))/1000000</f>
        <v>0</v>
      </c>
      <c r="M242" s="142"/>
    </row>
    <row r="243" spans="3:13" ht="14.5" customHeight="1" x14ac:dyDescent="0.35">
      <c r="C243" s="148"/>
      <c r="D243" s="148"/>
      <c r="E243" s="148"/>
      <c r="F243" s="1" t="s">
        <v>101</v>
      </c>
      <c r="G243" s="81"/>
      <c r="H243" s="99"/>
      <c r="I243" s="78">
        <f t="shared" si="31"/>
        <v>0</v>
      </c>
      <c r="J243" s="78">
        <f t="shared" si="25"/>
        <v>0</v>
      </c>
      <c r="K243" s="81">
        <v>1800</v>
      </c>
      <c r="L243" s="55">
        <f>(IF(G243="",0,IFERROR(VLOOKUP(G243, 'Materials Unit Costs'!$C$10:$F$79, 4, FALSE) * I243, "")))/1000000</f>
        <v>0</v>
      </c>
      <c r="M243" s="142"/>
    </row>
    <row r="244" spans="3:13" ht="14.5" customHeight="1" x14ac:dyDescent="0.35">
      <c r="C244" s="148"/>
      <c r="D244" s="148"/>
      <c r="E244" s="148"/>
      <c r="F244" s="1" t="s">
        <v>103</v>
      </c>
      <c r="G244" s="81"/>
      <c r="H244" s="99"/>
      <c r="I244" s="78">
        <f t="shared" si="31"/>
        <v>0</v>
      </c>
      <c r="J244" s="78">
        <f t="shared" si="25"/>
        <v>0</v>
      </c>
      <c r="K244" s="81">
        <v>1700</v>
      </c>
      <c r="L244" s="55">
        <f>(IF(G244="",0,IFERROR(VLOOKUP(G244, 'Materials Unit Costs'!$C$10:$F$79, 4, FALSE) * I244, "")))/1000000</f>
        <v>0</v>
      </c>
      <c r="M244" s="142"/>
    </row>
    <row r="245" spans="3:13" ht="14.5" customHeight="1" x14ac:dyDescent="0.35">
      <c r="C245" s="148"/>
      <c r="D245" s="148"/>
      <c r="E245" s="148"/>
      <c r="F245" s="1" t="s">
        <v>102</v>
      </c>
      <c r="G245" s="81"/>
      <c r="H245" s="99"/>
      <c r="I245" s="78">
        <f t="shared" si="31"/>
        <v>0</v>
      </c>
      <c r="J245" s="78">
        <f t="shared" si="25"/>
        <v>0</v>
      </c>
      <c r="K245" s="81">
        <v>1700</v>
      </c>
      <c r="L245" s="55">
        <f>(IF(G245="",0,IFERROR(VLOOKUP(G245, 'Materials Unit Costs'!$C$10:$F$79, 4, FALSE) * I245, "")))/1000000</f>
        <v>0</v>
      </c>
      <c r="M245" s="142"/>
    </row>
    <row r="246" spans="3:13" ht="14.5" customHeight="1" x14ac:dyDescent="0.35">
      <c r="C246" s="148"/>
      <c r="D246" s="148"/>
      <c r="E246" s="148"/>
      <c r="F246" s="1" t="s">
        <v>104</v>
      </c>
      <c r="G246" s="81"/>
      <c r="H246" s="99"/>
      <c r="I246" s="78">
        <f t="shared" si="31"/>
        <v>0</v>
      </c>
      <c r="J246" s="78">
        <f t="shared" si="25"/>
        <v>0</v>
      </c>
      <c r="K246" s="81">
        <v>2400</v>
      </c>
      <c r="L246" s="55">
        <f>(IF(G246="",0,IFERROR(VLOOKUP(G246, 'Materials Unit Costs'!$C$10:$F$79, 4, FALSE) * I246, "")))/1000000</f>
        <v>0</v>
      </c>
      <c r="M246" s="142"/>
    </row>
    <row r="247" spans="3:13" ht="14.5" customHeight="1" x14ac:dyDescent="0.35">
      <c r="C247" s="148"/>
      <c r="D247" s="148"/>
      <c r="E247" s="148"/>
      <c r="F247" s="1" t="s">
        <v>105</v>
      </c>
      <c r="G247" s="81"/>
      <c r="H247" s="99"/>
      <c r="I247" s="78">
        <f t="shared" si="31"/>
        <v>0</v>
      </c>
      <c r="J247" s="78">
        <f t="shared" si="25"/>
        <v>0</v>
      </c>
      <c r="K247" s="81">
        <v>2400</v>
      </c>
      <c r="L247" s="55">
        <f>(IF(G247="",0,IFERROR(VLOOKUP(G247, 'Materials Unit Costs'!$C$10:$F$79, 4, FALSE) * I247, "")))/1000000</f>
        <v>0</v>
      </c>
      <c r="M247" s="142"/>
    </row>
    <row r="248" spans="3:13" ht="14.5" customHeight="1" x14ac:dyDescent="0.35">
      <c r="C248" s="148"/>
      <c r="D248" s="148"/>
      <c r="E248" s="148"/>
      <c r="F248" s="1" t="s">
        <v>106</v>
      </c>
      <c r="G248" s="81"/>
      <c r="H248" s="99"/>
      <c r="I248" s="78">
        <f>$D$236*$E$236*1000</f>
        <v>400000</v>
      </c>
      <c r="J248" s="78">
        <f>I248*K248*(H248/1000)/1000</f>
        <v>0</v>
      </c>
      <c r="K248" s="81">
        <v>1800</v>
      </c>
      <c r="L248" s="55">
        <f>(IF(G248="",0,IFERROR(VLOOKUP(G248, 'Materials Unit Costs'!$C$10:$F$79, 4, FALSE) * I248, "")))/1000000</f>
        <v>0</v>
      </c>
      <c r="M248" s="142"/>
    </row>
    <row r="249" spans="3:13" ht="14.5" customHeight="1" x14ac:dyDescent="0.35">
      <c r="C249" s="148"/>
      <c r="D249" s="148"/>
      <c r="E249" s="148"/>
      <c r="F249" s="1" t="s">
        <v>184</v>
      </c>
      <c r="G249" s="81"/>
      <c r="H249" s="99"/>
      <c r="I249" s="78">
        <f>$D$236*$E$236*H249</f>
        <v>0</v>
      </c>
      <c r="J249" s="78">
        <f>I249*K249/1000</f>
        <v>0</v>
      </c>
      <c r="K249" s="81">
        <v>2400</v>
      </c>
      <c r="L249" s="55">
        <f>(IF(G249="",0,IFERROR(VLOOKUP(G249, 'Materials Unit Costs'!$C$10:$F$79, 4, FALSE) * I249, "")))/1000000</f>
        <v>0</v>
      </c>
      <c r="M249" s="142"/>
    </row>
    <row r="250" spans="3:13" ht="14.5" customHeight="1" x14ac:dyDescent="0.35">
      <c r="C250" s="148"/>
      <c r="D250" s="148"/>
      <c r="E250" s="148"/>
      <c r="F250" s="1" t="s">
        <v>185</v>
      </c>
      <c r="G250" s="81"/>
      <c r="H250" s="99"/>
      <c r="I250" s="78">
        <f>$D$236*$E$236*1000</f>
        <v>400000</v>
      </c>
      <c r="J250" s="78">
        <f>I250*K250*(H250/1000)/1000</f>
        <v>0</v>
      </c>
      <c r="K250" s="81">
        <v>1800</v>
      </c>
      <c r="L250" s="55">
        <f>(IF(G250="",0,IFERROR(VLOOKUP(G250, 'Materials Unit Costs'!$C$10:$F$79, 4, FALSE) * I250, "")))/1000000</f>
        <v>0</v>
      </c>
      <c r="M250" s="142"/>
    </row>
    <row r="251" spans="3:13" ht="14.5" customHeight="1" x14ac:dyDescent="0.35">
      <c r="C251" s="148"/>
      <c r="D251" s="148"/>
      <c r="E251" s="148"/>
      <c r="F251" s="1" t="s">
        <v>188</v>
      </c>
      <c r="G251" s="81"/>
      <c r="H251" s="99"/>
      <c r="I251" s="78">
        <f>$D$236*$E$236</f>
        <v>400</v>
      </c>
      <c r="J251" s="78">
        <f t="shared" si="25"/>
        <v>400</v>
      </c>
      <c r="K251" s="81">
        <v>1000</v>
      </c>
      <c r="L251" s="55">
        <f>(IF(G251="",0,IFERROR(VLOOKUP(G251, 'Materials Unit Costs'!$C$10:$F$79, 4, FALSE) * I251, "")))*1000/1000000</f>
        <v>0</v>
      </c>
      <c r="M251" s="142"/>
    </row>
    <row r="252" spans="3:13" ht="14.5" customHeight="1" x14ac:dyDescent="0.35">
      <c r="C252" s="148"/>
      <c r="D252" s="148"/>
      <c r="E252" s="148"/>
      <c r="F252" s="1" t="s">
        <v>189</v>
      </c>
      <c r="G252" s="81"/>
      <c r="H252" s="99"/>
      <c r="I252" s="78">
        <f>$D$236*$E$236</f>
        <v>400</v>
      </c>
      <c r="J252" s="78">
        <f t="shared" si="25"/>
        <v>400</v>
      </c>
      <c r="K252" s="81">
        <v>1000</v>
      </c>
      <c r="L252" s="55">
        <f>(IF(G252="",0,IFERROR(VLOOKUP(G252, 'Materials Unit Costs'!$C$10:$F$79, 4, FALSE) * I252, "")))*1000/1000000</f>
        <v>0</v>
      </c>
      <c r="M252" s="142"/>
    </row>
    <row r="253" spans="3:13" ht="14.5" customHeight="1" x14ac:dyDescent="0.35">
      <c r="C253" s="148"/>
      <c r="D253" s="148"/>
      <c r="E253" s="148"/>
      <c r="F253" s="1" t="s">
        <v>195</v>
      </c>
      <c r="G253" s="81"/>
      <c r="H253" s="99"/>
      <c r="I253" s="78">
        <f>$D$236*$E$236</f>
        <v>400</v>
      </c>
      <c r="J253" s="78">
        <f t="shared" si="25"/>
        <v>400</v>
      </c>
      <c r="K253" s="81">
        <v>1000</v>
      </c>
      <c r="L253" s="55">
        <f>(IF(G253="",0,IFERROR(VLOOKUP(G253, 'Materials Unit Costs'!$C$10:$F$79, 4, FALSE) * I253, "")))*1000/1000000</f>
        <v>0</v>
      </c>
      <c r="M253" s="142"/>
    </row>
    <row r="254" spans="3:13" ht="14.5" customHeight="1" x14ac:dyDescent="0.35">
      <c r="C254" s="148"/>
      <c r="D254" s="148"/>
      <c r="E254" s="148"/>
      <c r="F254" s="1" t="s">
        <v>186</v>
      </c>
      <c r="G254" s="81"/>
      <c r="H254" s="99"/>
      <c r="I254" s="78">
        <f>$D$236*$E$236*H254</f>
        <v>0</v>
      </c>
      <c r="J254" s="78">
        <f t="shared" ref="J254" si="32">I254*K254/1000</f>
        <v>0</v>
      </c>
      <c r="K254" s="81">
        <v>2400</v>
      </c>
      <c r="L254" s="55">
        <f>(IF(G254="",0,IFERROR(VLOOKUP(G254, 'Materials Unit Costs'!$C$10:$F$79, 4, FALSE) * I254, "")))/1000000</f>
        <v>0</v>
      </c>
      <c r="M254" s="142"/>
    </row>
    <row r="255" spans="3:13" ht="14.5" customHeight="1" x14ac:dyDescent="0.35">
      <c r="C255" s="149"/>
      <c r="D255" s="149"/>
      <c r="E255" s="149"/>
      <c r="F255" s="1" t="s">
        <v>187</v>
      </c>
      <c r="G255" s="81"/>
      <c r="H255" s="99"/>
      <c r="I255" s="78"/>
      <c r="J255" s="78"/>
      <c r="K255" s="81">
        <v>7750</v>
      </c>
      <c r="L255" s="55">
        <f>(IF(G255="",0,IFERROR(VLOOKUP(G255, 'Materials Unit Costs'!$C$10:$F$79, 4, FALSE) * J255, "")))/1000000</f>
        <v>0</v>
      </c>
      <c r="M255" s="143"/>
    </row>
    <row r="256" spans="3:13" ht="21" x14ac:dyDescent="0.5">
      <c r="C256" s="150" t="s">
        <v>162</v>
      </c>
      <c r="D256" s="150"/>
      <c r="E256" s="150"/>
      <c r="F256" s="150"/>
      <c r="G256" s="150"/>
      <c r="H256" s="150"/>
      <c r="I256" s="150"/>
      <c r="J256" s="150"/>
      <c r="K256" s="150"/>
      <c r="L256" s="150"/>
      <c r="M256" s="56">
        <f>M196+M216+M236</f>
        <v>0</v>
      </c>
    </row>
  </sheetData>
  <sheetProtection algorithmName="SHA-512" hashValue="Vv2roz3f417wW2uqRRI9WYEcDya/kKJJd67IEXL/X4l8fSm5xzQ+Ecz2va3k08iunoEhcnmj9p9WEaoSLDyG4w==" saltValue="FGrMsXgV1hVR0D/NWlM5Qg==" spinCount="100000" sheet="1" objects="1" scenarios="1" formatCells="0" formatColumns="0" formatRows="0" insertHyperlinks="0" sort="0" autoFilter="0"/>
  <mergeCells count="52">
    <mergeCell ref="M196:M215"/>
    <mergeCell ref="C216:C235"/>
    <mergeCell ref="D216:D235"/>
    <mergeCell ref="E216:E235"/>
    <mergeCell ref="M216:M235"/>
    <mergeCell ref="C128:L128"/>
    <mergeCell ref="C192:L192"/>
    <mergeCell ref="C256:L256"/>
    <mergeCell ref="C236:C255"/>
    <mergeCell ref="D236:D255"/>
    <mergeCell ref="E236:E255"/>
    <mergeCell ref="C4:C23"/>
    <mergeCell ref="D4:D23"/>
    <mergeCell ref="E4:E23"/>
    <mergeCell ref="M4:M23"/>
    <mergeCell ref="C24:C43"/>
    <mergeCell ref="D24:D43"/>
    <mergeCell ref="E24:E43"/>
    <mergeCell ref="M24:M43"/>
    <mergeCell ref="M44:M63"/>
    <mergeCell ref="C68:C87"/>
    <mergeCell ref="D68:D87"/>
    <mergeCell ref="E68:E87"/>
    <mergeCell ref="M68:M87"/>
    <mergeCell ref="C44:C63"/>
    <mergeCell ref="D44:D63"/>
    <mergeCell ref="E44:E63"/>
    <mergeCell ref="C64:L64"/>
    <mergeCell ref="M88:M107"/>
    <mergeCell ref="C108:C127"/>
    <mergeCell ref="D108:D127"/>
    <mergeCell ref="E108:E127"/>
    <mergeCell ref="M108:M127"/>
    <mergeCell ref="C88:C107"/>
    <mergeCell ref="D88:D107"/>
    <mergeCell ref="E88:E107"/>
    <mergeCell ref="M236:M255"/>
    <mergeCell ref="M132:M151"/>
    <mergeCell ref="C152:C171"/>
    <mergeCell ref="D152:D171"/>
    <mergeCell ref="E152:E171"/>
    <mergeCell ref="M152:M171"/>
    <mergeCell ref="C172:C191"/>
    <mergeCell ref="D172:D191"/>
    <mergeCell ref="E172:E191"/>
    <mergeCell ref="C196:C215"/>
    <mergeCell ref="D196:D215"/>
    <mergeCell ref="E196:E215"/>
    <mergeCell ref="C132:C151"/>
    <mergeCell ref="D132:D151"/>
    <mergeCell ref="E132:E151"/>
    <mergeCell ref="M172:M191"/>
  </mergeCells>
  <pageMargins left="0.7" right="0.7" top="0.75" bottom="0.75" header="0.3" footer="0.3"/>
  <legacyDrawing r:id="rId1"/>
  <extLst>
    <ext xmlns:x14="http://schemas.microsoft.com/office/spreadsheetml/2009/9/main" uri="{CCE6A557-97BC-4b89-ADB6-D9C93CAAB3DF}">
      <x14:dataValidations xmlns:xm="http://schemas.microsoft.com/office/excel/2006/main" count="10">
        <x14:dataValidation type="list" allowBlank="1" showInputMessage="1" showErrorMessage="1" error="Use dropdown list" xr:uid="{65ECC524-FA84-406A-A25C-5DE194A6DA3C}">
          <x14:formula1>
            <xm:f>'Materials Unit Costs'!$C$11:$C$13</xm:f>
          </x14:formula1>
          <xm:sqref>G8:G9 G240:G241 G220:G221 G200:G201 G176:G177 G156:G157 G136:G137 G112:G113 G92:G93 G72:G73 G48:G49 G28:G29</xm:sqref>
        </x14:dataValidation>
        <x14:dataValidation type="list" allowBlank="1" showInputMessage="1" showErrorMessage="1" error="Use dropdown list" xr:uid="{516E8E80-5D16-4C50-A0AA-48491434C608}">
          <x14:formula1>
            <xm:f>'Materials Unit Costs'!$C$16:$C$37</xm:f>
          </x14:formula1>
          <xm:sqref>G10:G13 G30:G33 G50:G53 G74:G77 G94:G97 G114:G117 G138:G141 G158:G161 G178:G181 G202:G205 G222:G225 G242:G245</xm:sqref>
        </x14:dataValidation>
        <x14:dataValidation type="list" allowBlank="1" showInputMessage="1" showErrorMessage="1" error="Use dropdown list" xr:uid="{46F7D9D2-0C26-4242-8945-5D0B46E3E833}">
          <x14:formula1>
            <xm:f>'Materials Unit Costs'!$C$42:$C$48</xm:f>
          </x14:formula1>
          <xm:sqref>G65</xm:sqref>
        </x14:dataValidation>
        <x14:dataValidation type="list" allowBlank="1" showInputMessage="1" showErrorMessage="1" error="Use dropdown list" xr:uid="{646ACD9C-7BAC-4CA0-AF40-D185C219EA97}">
          <x14:formula1>
            <xm:f>'Materials Unit Costs'!$C$58:$C$77</xm:f>
          </x14:formula1>
          <xm:sqref>G22 G42 G62 G86 G106 G126 G150 G170 G190 G214 G234 G254</xm:sqref>
        </x14:dataValidation>
        <x14:dataValidation type="list" allowBlank="1" showInputMessage="1" showErrorMessage="1" error="Use dropdown list" xr:uid="{B2030485-2FFD-4BB8-A08D-98F98E8687F0}">
          <x14:formula1>
            <xm:f>'Materials Unit Costs'!$C$49:$C$52</xm:f>
          </x14:formula1>
          <xm:sqref>G39 G19 G59 G83 G103 G123 G147 G167 G187 G211 G231 G251</xm:sqref>
        </x14:dataValidation>
        <x14:dataValidation type="list" allowBlank="1" showInputMessage="1" showErrorMessage="1" error="Use dropdown list" xr:uid="{65C686DF-BF09-4887-BA03-B14530D70735}">
          <x14:formula1>
            <xm:f>'Materials Unit Costs'!$C$54</xm:f>
          </x14:formula1>
          <xm:sqref>G21 G41 G61 G85 G105 G125 G149 G169 G189 G213 G233 G253</xm:sqref>
        </x14:dataValidation>
        <x14:dataValidation type="list" allowBlank="1" showInputMessage="1" showErrorMessage="1" error="Use dropdown list" xr:uid="{557826DC-F30D-4E69-A5D7-A3D0E3E5B2DD}">
          <x14:formula1>
            <xm:f>'Materials Unit Costs'!$C$53</xm:f>
          </x14:formula1>
          <xm:sqref>G20 G40 G60 G84 G104 G124 G148 G168 G188 G212 G232 G252</xm:sqref>
        </x14:dataValidation>
        <x14:dataValidation type="list" allowBlank="1" showInputMessage="1" showErrorMessage="1" error="Use dropdown list" xr:uid="{EE1B8BBB-CAB2-4777-804C-46703F2DC279}">
          <x14:formula1>
            <xm:f>'Materials Unit Costs'!$C$79</xm:f>
          </x14:formula1>
          <xm:sqref>G23 G43 G63 G87 G107 G127 G151 G171 G191 G215 G235 G255</xm:sqref>
        </x14:dataValidation>
        <x14:dataValidation type="list" allowBlank="1" showInputMessage="1" showErrorMessage="1" error="Use dropdown list" xr:uid="{7C18FBCE-0BC9-47FB-93D8-74F74DB7FC15}">
          <x14:formula1>
            <xm:f>'Materials Unit Costs'!$C$40:$C$43</xm:f>
          </x14:formula1>
          <xm:sqref>G16 G250 G248 G230 G228 G210 G208 G186 G184 G166 G164 G146 G144 G122 G120 G102 G100 G82 G80 G58 G56 G38 G36 G18</xm:sqref>
        </x14:dataValidation>
        <x14:dataValidation type="list" allowBlank="1" showInputMessage="1" showErrorMessage="1" error="Use dropdown list" xr:uid="{672D62AB-7FFF-4785-8225-6E337D07D726}">
          <x14:formula1>
            <xm:f>'Materials Unit Costs'!$C$44:$C$48</xm:f>
          </x14:formula1>
          <xm:sqref>G14:G15 G249 G246:G247 G229 G226:G227 G209 G206:G207 G185 G182:G183 G165 G162:G163 G145 G142:G143 G121 G118:G119 G101 G98:G99 G81 G78:G79 G57 G54:G55 G37 G34:G35 G17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A81F-F2E0-4911-B5D3-CC2C1E43169F}">
  <sheetPr>
    <tabColor theme="5" tint="-0.249977111117893"/>
  </sheetPr>
  <dimension ref="C2:U256"/>
  <sheetViews>
    <sheetView topLeftCell="E1" workbookViewId="0">
      <selection activeCell="P64" sqref="P64"/>
    </sheetView>
  </sheetViews>
  <sheetFormatPr defaultRowHeight="14.5" x14ac:dyDescent="0.35"/>
  <cols>
    <col min="2" max="2" width="15.08984375" customWidth="1"/>
    <col min="3" max="3" width="9.08984375" customWidth="1"/>
    <col min="4" max="4" width="7.54296875" customWidth="1"/>
    <col min="5" max="5" width="7" customWidth="1"/>
    <col min="6" max="6" width="26.6328125" customWidth="1"/>
    <col min="7" max="7" width="15.54296875" customWidth="1"/>
    <col min="8" max="8" width="10.81640625" customWidth="1"/>
    <col min="9" max="9" width="8.90625" customWidth="1"/>
    <col min="10" max="10" width="8.7265625" customWidth="1"/>
    <col min="11" max="11" width="10.36328125" customWidth="1"/>
    <col min="12" max="13" width="12.1796875" customWidth="1"/>
    <col min="14" max="15" width="16.08984375" customWidth="1"/>
    <col min="16" max="16" width="17.1796875" customWidth="1"/>
    <col min="17" max="17" width="46.453125" customWidth="1"/>
    <col min="20" max="20" width="26.08984375" customWidth="1"/>
  </cols>
  <sheetData>
    <row r="2" spans="3:21" x14ac:dyDescent="0.35">
      <c r="C2" s="11" t="s">
        <v>126</v>
      </c>
    </row>
    <row r="3" spans="3:21" ht="49.5" customHeight="1" x14ac:dyDescent="0.35">
      <c r="C3" s="6" t="s">
        <v>109</v>
      </c>
      <c r="D3" s="10" t="s">
        <v>114</v>
      </c>
      <c r="E3" s="10" t="s">
        <v>108</v>
      </c>
      <c r="F3" s="6" t="s">
        <v>13</v>
      </c>
      <c r="G3" s="6" t="s">
        <v>69</v>
      </c>
      <c r="H3" s="10" t="s">
        <v>107</v>
      </c>
      <c r="I3" s="10" t="s">
        <v>110</v>
      </c>
      <c r="J3" s="10" t="s">
        <v>113</v>
      </c>
      <c r="K3" s="10" t="s">
        <v>249</v>
      </c>
      <c r="L3" s="10" t="s">
        <v>294</v>
      </c>
      <c r="M3" s="10" t="s">
        <v>248</v>
      </c>
      <c r="N3" s="10" t="s">
        <v>295</v>
      </c>
      <c r="O3" s="10" t="s">
        <v>296</v>
      </c>
      <c r="P3" s="10" t="s">
        <v>297</v>
      </c>
      <c r="Q3" s="18"/>
      <c r="R3" s="22"/>
      <c r="T3" s="18"/>
      <c r="U3" s="22"/>
    </row>
    <row r="4" spans="3:21" ht="14.5" customHeight="1" x14ac:dyDescent="0.35">
      <c r="C4" s="144">
        <v>1</v>
      </c>
      <c r="D4" s="144">
        <v>20</v>
      </c>
      <c r="E4" s="144">
        <v>10</v>
      </c>
      <c r="F4" s="1" t="s">
        <v>159</v>
      </c>
      <c r="G4" s="98"/>
      <c r="H4" s="99"/>
      <c r="I4" s="78"/>
      <c r="J4" s="79"/>
      <c r="K4" s="80"/>
      <c r="L4" s="57">
        <f>('CO2e Factors'!$F$5*'Emissions for Pavement Options'!I4)</f>
        <v>0</v>
      </c>
      <c r="M4" s="100"/>
      <c r="N4" s="57">
        <f>('CO2e Factors'!$F$82*'Emissions for Pavement Options'!J4*'Emissions for Pavement Options'!M4)+('CO2e Factors'!$F$83*'Emissions for Pavement Options'!M4)</f>
        <v>0</v>
      </c>
      <c r="O4" s="41">
        <f>L4+N4</f>
        <v>0</v>
      </c>
      <c r="P4" s="154">
        <f>SUM(O4:O23)</f>
        <v>5660.4587959838655</v>
      </c>
    </row>
    <row r="5" spans="3:21" ht="14.5" customHeight="1" x14ac:dyDescent="0.35">
      <c r="C5" s="145"/>
      <c r="D5" s="145"/>
      <c r="E5" s="145"/>
      <c r="F5" s="1" t="s">
        <v>68</v>
      </c>
      <c r="G5" s="98"/>
      <c r="H5" s="99">
        <v>200</v>
      </c>
      <c r="I5" s="78">
        <f>$D$4*$E$4*H5</f>
        <v>40000</v>
      </c>
      <c r="J5" s="79"/>
      <c r="K5" s="81">
        <v>2100</v>
      </c>
      <c r="L5" s="57">
        <f>('CO2e Factors'!$F$6*'Emissions for Pavement Options'!I5)</f>
        <v>12.957777777777777</v>
      </c>
      <c r="M5" s="100"/>
      <c r="N5" s="57">
        <f>('CO2e Factors'!$F$82*'Emissions for Pavement Options'!J5*'Emissions for Pavement Options'!M5)+('CO2e Factors'!$F$83*'Emissions for Pavement Options'!M5)</f>
        <v>0</v>
      </c>
      <c r="O5" s="41">
        <f t="shared" ref="O5:O23" si="0">L5+N5</f>
        <v>12.957777777777777</v>
      </c>
      <c r="P5" s="155"/>
    </row>
    <row r="6" spans="3:21" ht="14.5" customHeight="1" x14ac:dyDescent="0.35">
      <c r="C6" s="145"/>
      <c r="D6" s="145"/>
      <c r="E6" s="145"/>
      <c r="F6" s="1" t="s">
        <v>204</v>
      </c>
      <c r="G6" s="98"/>
      <c r="H6" s="99">
        <v>300</v>
      </c>
      <c r="I6" s="78">
        <f>$D$4*$E$4*H6</f>
        <v>60000</v>
      </c>
      <c r="J6" s="78">
        <f>I6*K6/1000</f>
        <v>126000</v>
      </c>
      <c r="K6" s="81">
        <v>2100</v>
      </c>
      <c r="L6" s="57">
        <f>('CO2e Factors'!$F$7*'Emissions for Pavement Options'!I6)</f>
        <v>7.7060682060883421</v>
      </c>
      <c r="M6" s="100"/>
      <c r="N6" s="57">
        <f>('CO2e Factors'!$F$82*'Emissions for Pavement Options'!J6*'Emissions for Pavement Options'!M6)+('CO2e Factors'!$F$83*'Emissions for Pavement Options'!M6)</f>
        <v>0</v>
      </c>
      <c r="O6" s="41">
        <f t="shared" si="0"/>
        <v>7.7060682060883421</v>
      </c>
      <c r="P6" s="155"/>
    </row>
    <row r="7" spans="3:21" ht="14.5" customHeight="1" x14ac:dyDescent="0.35">
      <c r="C7" s="145"/>
      <c r="D7" s="145"/>
      <c r="E7" s="145"/>
      <c r="F7" s="1" t="s">
        <v>160</v>
      </c>
      <c r="G7" s="98"/>
      <c r="H7" s="99"/>
      <c r="I7" s="82"/>
      <c r="J7" s="78"/>
      <c r="K7" s="80"/>
      <c r="L7" s="57">
        <f>('CO2e Factors'!$F$8*'Emissions for Pavement Options'!J7)</f>
        <v>0</v>
      </c>
      <c r="M7" s="100"/>
      <c r="N7" s="57">
        <f>('CO2e Factors'!$F$82*'Emissions for Pavement Options'!J7*'Emissions for Pavement Options'!M7)+('CO2e Factors'!$F$83*'Emissions for Pavement Options'!M7)</f>
        <v>0</v>
      </c>
      <c r="O7" s="41">
        <f t="shared" si="0"/>
        <v>0</v>
      </c>
      <c r="P7" s="155"/>
    </row>
    <row r="8" spans="3:21" ht="14.5" customHeight="1" x14ac:dyDescent="0.35">
      <c r="C8" s="145"/>
      <c r="D8" s="145"/>
      <c r="E8" s="145"/>
      <c r="F8" s="1" t="s">
        <v>112</v>
      </c>
      <c r="G8" s="81"/>
      <c r="H8" s="99">
        <v>0</v>
      </c>
      <c r="I8" s="78">
        <f t="shared" ref="I8:I22" si="1">$D$4*$E$4*H8</f>
        <v>0</v>
      </c>
      <c r="J8" s="78">
        <f t="shared" ref="J8:J62" si="2">I8*K8/1000</f>
        <v>0</v>
      </c>
      <c r="K8" s="81">
        <v>2000</v>
      </c>
      <c r="L8" s="58">
        <f>(IF(G8="",0,IFERROR(VLOOKUP(G8, 'CO2e Factors'!$C$10:$F$79, 4, FALSE) * I8, "")))</f>
        <v>0</v>
      </c>
      <c r="M8" s="101"/>
      <c r="N8" s="57">
        <f>('CO2e Factors'!$F$82*'Emissions for Pavement Options'!J8*'Emissions for Pavement Options'!M8)+('CO2e Factors'!$F$83*'Emissions for Pavement Options'!M8)</f>
        <v>0</v>
      </c>
      <c r="O8" s="41">
        <f t="shared" si="0"/>
        <v>0</v>
      </c>
      <c r="P8" s="155"/>
    </row>
    <row r="9" spans="3:21" ht="14.5" customHeight="1" x14ac:dyDescent="0.35">
      <c r="C9" s="145"/>
      <c r="D9" s="145"/>
      <c r="E9" s="145"/>
      <c r="F9" s="1" t="s">
        <v>111</v>
      </c>
      <c r="G9" s="81" t="s">
        <v>120</v>
      </c>
      <c r="H9" s="99">
        <v>150</v>
      </c>
      <c r="I9" s="78">
        <f t="shared" si="1"/>
        <v>30000</v>
      </c>
      <c r="J9" s="78">
        <f t="shared" si="2"/>
        <v>54000</v>
      </c>
      <c r="K9" s="81">
        <v>1800</v>
      </c>
      <c r="L9" s="58">
        <f>(IF(G9="",0,IFERROR(VLOOKUP(G9, 'CO2e Factors'!$C$10:$F$79, 4, FALSE) * I9, "")))</f>
        <v>9.6000000000000014</v>
      </c>
      <c r="M9" s="101"/>
      <c r="N9" s="57">
        <f>('CO2e Factors'!$F$82*'Emissions for Pavement Options'!J9*'Emissions for Pavement Options'!M9)+('CO2e Factors'!$F$83*'Emissions for Pavement Options'!M9)</f>
        <v>0</v>
      </c>
      <c r="O9" s="41">
        <f t="shared" si="0"/>
        <v>9.6000000000000014</v>
      </c>
      <c r="P9" s="155"/>
    </row>
    <row r="10" spans="3:21" ht="14.5" customHeight="1" x14ac:dyDescent="0.35">
      <c r="C10" s="145"/>
      <c r="D10" s="145"/>
      <c r="E10" s="145"/>
      <c r="F10" s="1" t="s">
        <v>100</v>
      </c>
      <c r="G10" s="81" t="s">
        <v>40</v>
      </c>
      <c r="H10" s="99">
        <v>250</v>
      </c>
      <c r="I10" s="78">
        <f t="shared" si="1"/>
        <v>50000</v>
      </c>
      <c r="J10" s="78">
        <f t="shared" si="2"/>
        <v>90000</v>
      </c>
      <c r="K10" s="81">
        <v>1800</v>
      </c>
      <c r="L10" s="58">
        <f>(IF(G10="",0,IFERROR(VLOOKUP(G10, 'CO2e Factors'!$C$10:$F$79, 4, FALSE) * I10, "")))</f>
        <v>2755.25</v>
      </c>
      <c r="M10" s="101"/>
      <c r="N10" s="57">
        <f>('CO2e Factors'!$F$82*'Emissions for Pavement Options'!J10*'Emissions for Pavement Options'!M10)+('CO2e Factors'!$F$83*'Emissions for Pavement Options'!M10)</f>
        <v>0</v>
      </c>
      <c r="O10" s="41">
        <f t="shared" si="0"/>
        <v>2755.25</v>
      </c>
      <c r="P10" s="155"/>
    </row>
    <row r="11" spans="3:21" ht="14.5" customHeight="1" x14ac:dyDescent="0.35">
      <c r="C11" s="145"/>
      <c r="D11" s="145"/>
      <c r="E11" s="145"/>
      <c r="F11" s="1" t="s">
        <v>101</v>
      </c>
      <c r="G11" s="81"/>
      <c r="H11" s="99"/>
      <c r="I11" s="78">
        <f t="shared" si="1"/>
        <v>0</v>
      </c>
      <c r="J11" s="78">
        <f t="shared" si="2"/>
        <v>0</v>
      </c>
      <c r="K11" s="81">
        <v>1800</v>
      </c>
      <c r="L11" s="58">
        <f>(IF(G11="",0,IFERROR(VLOOKUP(G11, 'CO2e Factors'!$C$10:$F$79, 4, FALSE) * I11, "")))</f>
        <v>0</v>
      </c>
      <c r="M11" s="101"/>
      <c r="N11" s="57">
        <f>('CO2e Factors'!$F$82*'Emissions for Pavement Options'!J11*'Emissions for Pavement Options'!M11)+('CO2e Factors'!$F$83*'Emissions for Pavement Options'!M11)</f>
        <v>0</v>
      </c>
      <c r="O11" s="41">
        <f t="shared" si="0"/>
        <v>0</v>
      </c>
      <c r="P11" s="155"/>
    </row>
    <row r="12" spans="3:21" ht="14.5" customHeight="1" x14ac:dyDescent="0.35">
      <c r="C12" s="145"/>
      <c r="D12" s="145"/>
      <c r="E12" s="145"/>
      <c r="F12" s="1" t="s">
        <v>103</v>
      </c>
      <c r="G12" s="81" t="s">
        <v>34</v>
      </c>
      <c r="H12" s="99">
        <v>175</v>
      </c>
      <c r="I12" s="78">
        <f t="shared" si="1"/>
        <v>35000</v>
      </c>
      <c r="J12" s="78">
        <f t="shared" si="2"/>
        <v>59500</v>
      </c>
      <c r="K12" s="81">
        <v>1700</v>
      </c>
      <c r="L12" s="58">
        <f>(IF(G12="",0,IFERROR(VLOOKUP(G12, 'CO2e Factors'!$C$10:$F$79, 4, FALSE) * I12, "")))</f>
        <v>275.94</v>
      </c>
      <c r="M12" s="101"/>
      <c r="N12" s="57">
        <f>('CO2e Factors'!$F$82*'Emissions for Pavement Options'!J12*'Emissions for Pavement Options'!M12)+('CO2e Factors'!$F$83*'Emissions for Pavement Options'!M12)</f>
        <v>0</v>
      </c>
      <c r="O12" s="41">
        <f t="shared" si="0"/>
        <v>275.94</v>
      </c>
      <c r="P12" s="155"/>
    </row>
    <row r="13" spans="3:21" ht="14.5" customHeight="1" x14ac:dyDescent="0.35">
      <c r="C13" s="145"/>
      <c r="D13" s="145"/>
      <c r="E13" s="145"/>
      <c r="F13" s="1" t="s">
        <v>102</v>
      </c>
      <c r="G13" s="81"/>
      <c r="H13" s="99"/>
      <c r="I13" s="78">
        <f t="shared" si="1"/>
        <v>0</v>
      </c>
      <c r="J13" s="78">
        <f t="shared" si="2"/>
        <v>0</v>
      </c>
      <c r="K13" s="81">
        <v>1700</v>
      </c>
      <c r="L13" s="58">
        <f>(IF(G13="",0,IFERROR(VLOOKUP(G13, 'CO2e Factors'!$C$10:$F$79, 4, FALSE) * I13, "")))</f>
        <v>0</v>
      </c>
      <c r="M13" s="101"/>
      <c r="N13" s="57">
        <f>('CO2e Factors'!$F$82*'Emissions for Pavement Options'!J13*'Emissions for Pavement Options'!M13)+('CO2e Factors'!$F$83*'Emissions for Pavement Options'!M13)</f>
        <v>0</v>
      </c>
      <c r="O13" s="41">
        <f t="shared" si="0"/>
        <v>0</v>
      </c>
      <c r="P13" s="155"/>
    </row>
    <row r="14" spans="3:21" ht="14.5" customHeight="1" x14ac:dyDescent="0.35">
      <c r="C14" s="145"/>
      <c r="D14" s="145"/>
      <c r="E14" s="145"/>
      <c r="F14" s="1" t="s">
        <v>104</v>
      </c>
      <c r="G14" s="81" t="s">
        <v>44</v>
      </c>
      <c r="H14" s="99">
        <v>60</v>
      </c>
      <c r="I14" s="78">
        <f t="shared" si="1"/>
        <v>12000</v>
      </c>
      <c r="J14" s="78">
        <f t="shared" si="2"/>
        <v>28800</v>
      </c>
      <c r="K14" s="81">
        <v>2400</v>
      </c>
      <c r="L14" s="58">
        <f>(IF(G14="",0,IFERROR(VLOOKUP(G14, 'CO2e Factors'!$C$10:$F$79, 4, FALSE) * I14, "")))</f>
        <v>1468.3199999999997</v>
      </c>
      <c r="M14" s="101"/>
      <c r="N14" s="57">
        <f>('CO2e Factors'!$F$82*'Emissions for Pavement Options'!J14*'Emissions for Pavement Options'!M14)+('CO2e Factors'!$F$83*'Emissions for Pavement Options'!M14)</f>
        <v>0</v>
      </c>
      <c r="O14" s="41">
        <f t="shared" si="0"/>
        <v>1468.3199999999997</v>
      </c>
      <c r="P14" s="155"/>
    </row>
    <row r="15" spans="3:21" ht="14.5" customHeight="1" x14ac:dyDescent="0.35">
      <c r="C15" s="145"/>
      <c r="D15" s="145"/>
      <c r="E15" s="145"/>
      <c r="F15" s="1" t="s">
        <v>105</v>
      </c>
      <c r="G15" s="81" t="s">
        <v>42</v>
      </c>
      <c r="H15" s="99">
        <v>40</v>
      </c>
      <c r="I15" s="78">
        <f>$D$4*$E$4*H15</f>
        <v>8000</v>
      </c>
      <c r="J15" s="78">
        <f>I15*K15/1000</f>
        <v>19200</v>
      </c>
      <c r="K15" s="81">
        <v>2400</v>
      </c>
      <c r="L15" s="58">
        <f>(IF(G15="",0,IFERROR(VLOOKUP(G15, 'CO2e Factors'!$C$10:$F$79, 4, FALSE) * I15, "")))</f>
        <v>997.28</v>
      </c>
      <c r="M15" s="101"/>
      <c r="N15" s="57">
        <f>('CO2e Factors'!$F$82*'Emissions for Pavement Options'!J15*'Emissions for Pavement Options'!M15)+('CO2e Factors'!$F$83*'Emissions for Pavement Options'!M15)</f>
        <v>0</v>
      </c>
      <c r="O15" s="41">
        <f t="shared" si="0"/>
        <v>997.28</v>
      </c>
      <c r="P15" s="155"/>
      <c r="Q15" t="s">
        <v>252</v>
      </c>
    </row>
    <row r="16" spans="3:21" ht="14.5" customHeight="1" x14ac:dyDescent="0.35">
      <c r="C16" s="145"/>
      <c r="D16" s="145"/>
      <c r="E16" s="145"/>
      <c r="F16" s="1" t="s">
        <v>106</v>
      </c>
      <c r="G16" s="81" t="s">
        <v>146</v>
      </c>
      <c r="H16" s="99">
        <v>10</v>
      </c>
      <c r="I16" s="78">
        <f>$D$4*$E$4*1000</f>
        <v>200000</v>
      </c>
      <c r="J16" s="78">
        <f>I16*K16*(H16/1000)/1000</f>
        <v>3600</v>
      </c>
      <c r="K16" s="81">
        <v>1800</v>
      </c>
      <c r="L16" s="58">
        <f>(IF(G16="",0,IFERROR(VLOOKUP(G16, 'CO2e Factors'!$C$10:$F$79, 4, FALSE) * I16, "")))</f>
        <v>66.702474999999993</v>
      </c>
      <c r="M16" s="101"/>
      <c r="N16" s="57">
        <f>('CO2e Factors'!$F$82*'Emissions for Pavement Options'!J16*'Emissions for Pavement Options'!M16)+('CO2e Factors'!$F$83*'Emissions for Pavement Options'!M16)</f>
        <v>0</v>
      </c>
      <c r="O16" s="41">
        <f t="shared" si="0"/>
        <v>66.702474999999993</v>
      </c>
      <c r="P16" s="155"/>
    </row>
    <row r="17" spans="3:17" ht="14.5" customHeight="1" x14ac:dyDescent="0.35">
      <c r="C17" s="145"/>
      <c r="D17" s="145"/>
      <c r="E17" s="145"/>
      <c r="F17" s="1" t="s">
        <v>184</v>
      </c>
      <c r="G17" s="81"/>
      <c r="H17" s="99"/>
      <c r="I17" s="78">
        <f>$D$4*$E$4*H17</f>
        <v>0</v>
      </c>
      <c r="J17" s="78">
        <f>I17*K17/1000</f>
        <v>0</v>
      </c>
      <c r="K17" s="81">
        <v>2400</v>
      </c>
      <c r="L17" s="58">
        <f>(IF(G17="",0,IFERROR(VLOOKUP(G17, 'CO2e Factors'!$C$10:$F$79, 4, FALSE) * I17, "")))</f>
        <v>0</v>
      </c>
      <c r="M17" s="101"/>
      <c r="N17" s="57">
        <f>('CO2e Factors'!$F$82*'Emissions for Pavement Options'!J17*'Emissions for Pavement Options'!M17)+('CO2e Factors'!$F$83*'Emissions for Pavement Options'!M17)</f>
        <v>0</v>
      </c>
      <c r="O17" s="41">
        <f t="shared" si="0"/>
        <v>0</v>
      </c>
      <c r="P17" s="155"/>
    </row>
    <row r="18" spans="3:17" ht="14.5" customHeight="1" x14ac:dyDescent="0.35">
      <c r="C18" s="145"/>
      <c r="D18" s="145"/>
      <c r="E18" s="145"/>
      <c r="F18" s="1" t="s">
        <v>185</v>
      </c>
      <c r="G18" s="81" t="s">
        <v>146</v>
      </c>
      <c r="H18" s="99">
        <v>10</v>
      </c>
      <c r="I18" s="78">
        <f>$D$4*$E$4*1000</f>
        <v>200000</v>
      </c>
      <c r="J18" s="78">
        <f>I18*K18*(H18/1000)/1000</f>
        <v>3600</v>
      </c>
      <c r="K18" s="81">
        <v>1800</v>
      </c>
      <c r="L18" s="58">
        <f>(IF(G18="",0,IFERROR(VLOOKUP(G18, 'CO2e Factors'!$C$10:$F$79, 4, FALSE) * I18, "")))</f>
        <v>66.702474999999993</v>
      </c>
      <c r="M18" s="101"/>
      <c r="N18" s="57">
        <f>('CO2e Factors'!$F$82*'Emissions for Pavement Options'!J18*'Emissions for Pavement Options'!M18)+('CO2e Factors'!$F$83*'Emissions for Pavement Options'!M18)</f>
        <v>0</v>
      </c>
      <c r="O18" s="41">
        <f t="shared" si="0"/>
        <v>66.702474999999993</v>
      </c>
      <c r="P18" s="155"/>
    </row>
    <row r="19" spans="3:17" ht="14.5" customHeight="1" x14ac:dyDescent="0.35">
      <c r="C19" s="145"/>
      <c r="D19" s="145"/>
      <c r="E19" s="145"/>
      <c r="F19" s="1" t="s">
        <v>188</v>
      </c>
      <c r="G19" s="81"/>
      <c r="H19" s="99">
        <v>1</v>
      </c>
      <c r="I19" s="78">
        <f>$D$4*$E$4</f>
        <v>200</v>
      </c>
      <c r="J19" s="78">
        <f>I19*K19/1000</f>
        <v>200</v>
      </c>
      <c r="K19" s="81">
        <v>1000</v>
      </c>
      <c r="L19" s="58">
        <f>(IF(G19="",0,IFERROR(VLOOKUP(G19, 'CO2e Factors'!$C$10:$F$79, 4, FALSE) * I19, "")))*1000</f>
        <v>0</v>
      </c>
      <c r="M19" s="101"/>
      <c r="N19" s="57">
        <f>('CO2e Factors'!$F$82*'Emissions for Pavement Options'!J19*'Emissions for Pavement Options'!M19)+('CO2e Factors'!$F$83*'Emissions for Pavement Options'!M19)</f>
        <v>0</v>
      </c>
      <c r="O19" s="41">
        <f t="shared" si="0"/>
        <v>0</v>
      </c>
      <c r="P19" s="155"/>
    </row>
    <row r="20" spans="3:17" ht="14.5" customHeight="1" x14ac:dyDescent="0.35">
      <c r="C20" s="145"/>
      <c r="D20" s="145"/>
      <c r="E20" s="145"/>
      <c r="F20" s="1" t="s">
        <v>189</v>
      </c>
      <c r="G20" s="81"/>
      <c r="H20" s="99">
        <v>1</v>
      </c>
      <c r="I20" s="78">
        <f>$D$4*$E$4</f>
        <v>200</v>
      </c>
      <c r="J20" s="78">
        <f t="shared" si="2"/>
        <v>200</v>
      </c>
      <c r="K20" s="81">
        <v>1000</v>
      </c>
      <c r="L20" s="58">
        <f>(IF(G20="",0,IFERROR(VLOOKUP(G20, 'CO2e Factors'!$C$10:$F$79, 4, FALSE) * I20, "")))*1000</f>
        <v>0</v>
      </c>
      <c r="M20" s="101"/>
      <c r="N20" s="57">
        <f>('CO2e Factors'!$F$82*'Emissions for Pavement Options'!J20*'Emissions for Pavement Options'!M20)+('CO2e Factors'!$F$83*'Emissions for Pavement Options'!M20)</f>
        <v>0</v>
      </c>
      <c r="O20" s="41">
        <f t="shared" si="0"/>
        <v>0</v>
      </c>
      <c r="P20" s="155"/>
    </row>
    <row r="21" spans="3:17" ht="14.5" customHeight="1" x14ac:dyDescent="0.35">
      <c r="C21" s="145"/>
      <c r="D21" s="145"/>
      <c r="E21" s="145"/>
      <c r="F21" s="1" t="s">
        <v>195</v>
      </c>
      <c r="G21" s="81"/>
      <c r="H21" s="99">
        <v>1</v>
      </c>
      <c r="I21" s="78">
        <f>$D$4*$E$4</f>
        <v>200</v>
      </c>
      <c r="J21" s="78">
        <f t="shared" si="2"/>
        <v>200</v>
      </c>
      <c r="K21" s="81">
        <v>1000</v>
      </c>
      <c r="L21" s="58">
        <f>(IF(G21="",0,IFERROR(VLOOKUP(G21, 'CO2e Factors'!$C$10:$F$79, 4, FALSE) * I21, "")))*1000</f>
        <v>0</v>
      </c>
      <c r="M21" s="101"/>
      <c r="N21" s="57">
        <f>('CO2e Factors'!$F$82*'Emissions for Pavement Options'!J21*'Emissions for Pavement Options'!M21)+('CO2e Factors'!$F$83*'Emissions for Pavement Options'!M21)</f>
        <v>0</v>
      </c>
      <c r="O21" s="41">
        <f t="shared" si="0"/>
        <v>0</v>
      </c>
      <c r="P21" s="155"/>
    </row>
    <row r="22" spans="3:17" ht="14.5" customHeight="1" x14ac:dyDescent="0.35">
      <c r="C22" s="145"/>
      <c r="D22" s="145"/>
      <c r="E22" s="145"/>
      <c r="F22" s="1" t="s">
        <v>186</v>
      </c>
      <c r="G22" s="81"/>
      <c r="H22" s="99">
        <v>0</v>
      </c>
      <c r="I22" s="78">
        <f t="shared" si="1"/>
        <v>0</v>
      </c>
      <c r="J22" s="78">
        <f t="shared" si="2"/>
        <v>0</v>
      </c>
      <c r="K22" s="81">
        <v>2400</v>
      </c>
      <c r="L22" s="58">
        <f>(IF(G22="",0,IFERROR(VLOOKUP(G22, 'CO2e Factors'!$C$10:$F$79, 4, FALSE) * I22, "")))</f>
        <v>0</v>
      </c>
      <c r="M22" s="101"/>
      <c r="N22" s="57">
        <f>('CO2e Factors'!$F$82*'Emissions for Pavement Options'!J22*'Emissions for Pavement Options'!M22)+('CO2e Factors'!$F$83*'Emissions for Pavement Options'!M22)</f>
        <v>0</v>
      </c>
      <c r="O22" s="41">
        <f t="shared" si="0"/>
        <v>0</v>
      </c>
      <c r="P22" s="155"/>
    </row>
    <row r="23" spans="3:17" ht="14.5" customHeight="1" x14ac:dyDescent="0.35">
      <c r="C23" s="146"/>
      <c r="D23" s="146"/>
      <c r="E23" s="146"/>
      <c r="F23" s="1" t="s">
        <v>187</v>
      </c>
      <c r="G23" s="81"/>
      <c r="H23" s="99"/>
      <c r="I23" s="78"/>
      <c r="J23" s="78"/>
      <c r="K23" s="81">
        <v>7750</v>
      </c>
      <c r="L23" s="58">
        <f>(IF(G23="",0,IFERROR(VLOOKUP(G23, 'CO2e Factors'!$C$10:$F$79, 4, FALSE) * J23, "")))</f>
        <v>0</v>
      </c>
      <c r="M23" s="101"/>
      <c r="N23" s="57">
        <f>('CO2e Factors'!$F$82*'Emissions for Pavement Options'!J23*'Emissions for Pavement Options'!M23)+('CO2e Factors'!$F$83*'Emissions for Pavement Options'!M23)</f>
        <v>0</v>
      </c>
      <c r="O23" s="41">
        <f t="shared" si="0"/>
        <v>0</v>
      </c>
      <c r="P23" s="156"/>
    </row>
    <row r="24" spans="3:17" ht="14.5" customHeight="1" x14ac:dyDescent="0.35">
      <c r="C24" s="144">
        <v>2</v>
      </c>
      <c r="D24" s="144">
        <v>30</v>
      </c>
      <c r="E24" s="144">
        <v>10</v>
      </c>
      <c r="F24" s="1" t="s">
        <v>159</v>
      </c>
      <c r="G24" s="98"/>
      <c r="H24" s="99"/>
      <c r="I24" s="78"/>
      <c r="J24" s="79"/>
      <c r="K24" s="80"/>
      <c r="L24" s="57">
        <f>('CO2e Factors'!$F$5*'Emissions for Pavement Options'!I24)</f>
        <v>0</v>
      </c>
      <c r="M24" s="100"/>
      <c r="N24" s="57">
        <f>('CO2e Factors'!$F$82*'Emissions for Pavement Options'!J24*'Emissions for Pavement Options'!M24)+('CO2e Factors'!$F$83*'Emissions for Pavement Options'!M24)</f>
        <v>0</v>
      </c>
      <c r="O24" s="41">
        <f>L24+N24</f>
        <v>0</v>
      </c>
      <c r="P24" s="154">
        <f>SUM(O24:O43)</f>
        <v>8476.2881939757972</v>
      </c>
      <c r="Q24" s="26"/>
    </row>
    <row r="25" spans="3:17" ht="14.5" customHeight="1" x14ac:dyDescent="0.35">
      <c r="C25" s="145"/>
      <c r="D25" s="145"/>
      <c r="E25" s="145"/>
      <c r="F25" s="1" t="s">
        <v>68</v>
      </c>
      <c r="G25" s="98"/>
      <c r="H25" s="99">
        <v>200</v>
      </c>
      <c r="I25" s="78">
        <f>$D$24*$E$24*H25</f>
        <v>60000</v>
      </c>
      <c r="J25" s="79"/>
      <c r="K25" s="81">
        <v>2100</v>
      </c>
      <c r="L25" s="57">
        <f>('CO2e Factors'!$F$6*'Emissions for Pavement Options'!I25)</f>
        <v>19.436666666666664</v>
      </c>
      <c r="M25" s="100"/>
      <c r="N25" s="57">
        <f>('CO2e Factors'!$F$82*'Emissions for Pavement Options'!J25*'Emissions for Pavement Options'!M25)+('CO2e Factors'!$F$83*'Emissions for Pavement Options'!M25)</f>
        <v>0</v>
      </c>
      <c r="O25" s="41">
        <f t="shared" ref="O25:O43" si="3">L25+N25</f>
        <v>19.436666666666664</v>
      </c>
      <c r="P25" s="155"/>
      <c r="Q25" s="26"/>
    </row>
    <row r="26" spans="3:17" ht="14.5" customHeight="1" x14ac:dyDescent="0.35">
      <c r="C26" s="145"/>
      <c r="D26" s="145"/>
      <c r="E26" s="145"/>
      <c r="F26" s="1" t="s">
        <v>204</v>
      </c>
      <c r="G26" s="98"/>
      <c r="H26" s="99">
        <v>300</v>
      </c>
      <c r="I26" s="78">
        <f>$D$24*$E$24*H26</f>
        <v>90000</v>
      </c>
      <c r="J26" s="78">
        <f>I26*K26/1000</f>
        <v>189000</v>
      </c>
      <c r="K26" s="81">
        <v>2100</v>
      </c>
      <c r="L26" s="57">
        <f>('CO2e Factors'!$F$7*'Emissions for Pavement Options'!I26)</f>
        <v>11.559102309132513</v>
      </c>
      <c r="M26" s="100"/>
      <c r="N26" s="57">
        <f>('CO2e Factors'!$F$82*'Emissions for Pavement Options'!J26*'Emissions for Pavement Options'!M26)+('CO2e Factors'!$F$83*'Emissions for Pavement Options'!M26)</f>
        <v>0</v>
      </c>
      <c r="O26" s="41">
        <f t="shared" si="3"/>
        <v>11.559102309132513</v>
      </c>
      <c r="P26" s="155"/>
      <c r="Q26" s="26"/>
    </row>
    <row r="27" spans="3:17" ht="14.5" customHeight="1" x14ac:dyDescent="0.35">
      <c r="C27" s="145"/>
      <c r="D27" s="145"/>
      <c r="E27" s="145"/>
      <c r="F27" s="1" t="s">
        <v>160</v>
      </c>
      <c r="G27" s="98"/>
      <c r="H27" s="99"/>
      <c r="I27" s="82"/>
      <c r="J27" s="78"/>
      <c r="K27" s="80"/>
      <c r="L27" s="57">
        <f>('CO2e Factors'!$F$8*'Emissions for Pavement Options'!J27)</f>
        <v>0</v>
      </c>
      <c r="M27" s="100"/>
      <c r="N27" s="57">
        <f>('CO2e Factors'!$F$82*'Emissions for Pavement Options'!J27*'Emissions for Pavement Options'!M27)+('CO2e Factors'!$F$83*'Emissions for Pavement Options'!M27)</f>
        <v>0</v>
      </c>
      <c r="O27" s="41">
        <f t="shared" si="3"/>
        <v>0</v>
      </c>
      <c r="P27" s="155"/>
      <c r="Q27" s="26"/>
    </row>
    <row r="28" spans="3:17" ht="14.5" customHeight="1" x14ac:dyDescent="0.35">
      <c r="C28" s="145"/>
      <c r="D28" s="145"/>
      <c r="E28" s="145"/>
      <c r="F28" s="1" t="s">
        <v>112</v>
      </c>
      <c r="G28" s="81"/>
      <c r="H28" s="99">
        <v>0</v>
      </c>
      <c r="I28" s="78">
        <f>$D$24*$E$24*H28</f>
        <v>0</v>
      </c>
      <c r="J28" s="78">
        <f t="shared" si="2"/>
        <v>0</v>
      </c>
      <c r="K28" s="81">
        <v>2000</v>
      </c>
      <c r="L28" s="58">
        <f>(IF(G28="",0,IFERROR(VLOOKUP(G28, 'CO2e Factors'!$C$10:$F$79, 4, FALSE) * I28, "")))</f>
        <v>0</v>
      </c>
      <c r="M28" s="101"/>
      <c r="N28" s="57">
        <f>('CO2e Factors'!$F$82*'Emissions for Pavement Options'!J28*'Emissions for Pavement Options'!M28)+('CO2e Factors'!$F$83*'Emissions for Pavement Options'!M28)</f>
        <v>0</v>
      </c>
      <c r="O28" s="41">
        <f t="shared" si="3"/>
        <v>0</v>
      </c>
      <c r="P28" s="155"/>
      <c r="Q28" s="26"/>
    </row>
    <row r="29" spans="3:17" ht="14.5" customHeight="1" x14ac:dyDescent="0.35">
      <c r="C29" s="145"/>
      <c r="D29" s="145"/>
      <c r="E29" s="145"/>
      <c r="F29" s="1" t="s">
        <v>111</v>
      </c>
      <c r="G29" s="81" t="s">
        <v>120</v>
      </c>
      <c r="H29" s="99">
        <v>0</v>
      </c>
      <c r="I29" s="78">
        <f t="shared" ref="I29:I37" si="4">$D$24*$E$24*H29</f>
        <v>0</v>
      </c>
      <c r="J29" s="78">
        <f t="shared" si="2"/>
        <v>0</v>
      </c>
      <c r="K29" s="81">
        <v>1800</v>
      </c>
      <c r="L29" s="58">
        <f>(IF(G29="",0,IFERROR(VLOOKUP(G29, 'CO2e Factors'!$C$10:$F$79, 4, FALSE) * I29, "")))</f>
        <v>0</v>
      </c>
      <c r="M29" s="101"/>
      <c r="N29" s="57">
        <f>('CO2e Factors'!$F$82*'Emissions for Pavement Options'!J29*'Emissions for Pavement Options'!M29)+('CO2e Factors'!$F$83*'Emissions for Pavement Options'!M29)</f>
        <v>0</v>
      </c>
      <c r="O29" s="41">
        <f t="shared" si="3"/>
        <v>0</v>
      </c>
      <c r="P29" s="155"/>
      <c r="Q29" s="26"/>
    </row>
    <row r="30" spans="3:17" ht="14.5" customHeight="1" x14ac:dyDescent="0.35">
      <c r="C30" s="145"/>
      <c r="D30" s="145"/>
      <c r="E30" s="145"/>
      <c r="F30" s="1" t="s">
        <v>100</v>
      </c>
      <c r="G30" s="81" t="s">
        <v>40</v>
      </c>
      <c r="H30" s="99">
        <v>250</v>
      </c>
      <c r="I30" s="78">
        <f t="shared" si="4"/>
        <v>75000</v>
      </c>
      <c r="J30" s="78">
        <f t="shared" si="2"/>
        <v>135000</v>
      </c>
      <c r="K30" s="81">
        <v>1800</v>
      </c>
      <c r="L30" s="58">
        <f>(IF(G30="",0,IFERROR(VLOOKUP(G30, 'CO2e Factors'!$C$10:$F$79, 4, FALSE) * I30, "")))</f>
        <v>4132.875</v>
      </c>
      <c r="M30" s="101"/>
      <c r="N30" s="57">
        <f>('CO2e Factors'!$F$82*'Emissions for Pavement Options'!J30*'Emissions for Pavement Options'!M30)+('CO2e Factors'!$F$83*'Emissions for Pavement Options'!M30)</f>
        <v>0</v>
      </c>
      <c r="O30" s="41">
        <f t="shared" si="3"/>
        <v>4132.875</v>
      </c>
      <c r="P30" s="155"/>
      <c r="Q30" s="26"/>
    </row>
    <row r="31" spans="3:17" ht="14.5" customHeight="1" x14ac:dyDescent="0.35">
      <c r="C31" s="145"/>
      <c r="D31" s="145"/>
      <c r="E31" s="145"/>
      <c r="F31" s="1" t="s">
        <v>101</v>
      </c>
      <c r="G31" s="81"/>
      <c r="H31" s="99"/>
      <c r="I31" s="78">
        <f t="shared" si="4"/>
        <v>0</v>
      </c>
      <c r="J31" s="78">
        <f t="shared" si="2"/>
        <v>0</v>
      </c>
      <c r="K31" s="81">
        <v>1800</v>
      </c>
      <c r="L31" s="58">
        <f>(IF(G31="",0,IFERROR(VLOOKUP(G31, 'CO2e Factors'!$C$10:$F$79, 4, FALSE) * I31, "")))</f>
        <v>0</v>
      </c>
      <c r="M31" s="101"/>
      <c r="N31" s="57">
        <f>('CO2e Factors'!$F$82*'Emissions for Pavement Options'!J31*'Emissions for Pavement Options'!M31)+('CO2e Factors'!$F$83*'Emissions for Pavement Options'!M31)</f>
        <v>0</v>
      </c>
      <c r="O31" s="41">
        <f t="shared" si="3"/>
        <v>0</v>
      </c>
      <c r="P31" s="155"/>
      <c r="Q31" s="26"/>
    </row>
    <row r="32" spans="3:17" ht="14.5" customHeight="1" x14ac:dyDescent="0.35">
      <c r="C32" s="145"/>
      <c r="D32" s="145"/>
      <c r="E32" s="145"/>
      <c r="F32" s="1" t="s">
        <v>103</v>
      </c>
      <c r="G32" s="81" t="s">
        <v>34</v>
      </c>
      <c r="H32" s="99">
        <v>175</v>
      </c>
      <c r="I32" s="78">
        <f t="shared" si="4"/>
        <v>52500</v>
      </c>
      <c r="J32" s="78">
        <f t="shared" si="2"/>
        <v>89250</v>
      </c>
      <c r="K32" s="81">
        <v>1700</v>
      </c>
      <c r="L32" s="58">
        <f>(IF(G32="",0,IFERROR(VLOOKUP(G32, 'CO2e Factors'!$C$10:$F$79, 4, FALSE) * I32, "")))</f>
        <v>413.91</v>
      </c>
      <c r="M32" s="101"/>
      <c r="N32" s="57">
        <f>('CO2e Factors'!$F$82*'Emissions for Pavement Options'!J32*'Emissions for Pavement Options'!M32)+('CO2e Factors'!$F$83*'Emissions for Pavement Options'!M32)</f>
        <v>0</v>
      </c>
      <c r="O32" s="41">
        <f t="shared" si="3"/>
        <v>413.91</v>
      </c>
      <c r="P32" s="155"/>
      <c r="Q32" s="26"/>
    </row>
    <row r="33" spans="3:17" ht="14.5" customHeight="1" x14ac:dyDescent="0.35">
      <c r="C33" s="145"/>
      <c r="D33" s="145"/>
      <c r="E33" s="145"/>
      <c r="F33" s="1" t="s">
        <v>102</v>
      </c>
      <c r="G33" s="81"/>
      <c r="H33" s="99"/>
      <c r="I33" s="78">
        <f t="shared" si="4"/>
        <v>0</v>
      </c>
      <c r="J33" s="78">
        <f t="shared" si="2"/>
        <v>0</v>
      </c>
      <c r="K33" s="81">
        <v>1700</v>
      </c>
      <c r="L33" s="58">
        <f>(IF(G33="",0,IFERROR(VLOOKUP(G33, 'CO2e Factors'!$C$10:$F$79, 4, FALSE) * I33, "")))</f>
        <v>0</v>
      </c>
      <c r="M33" s="101"/>
      <c r="N33" s="57">
        <f>('CO2e Factors'!$F$82*'Emissions for Pavement Options'!J33*'Emissions for Pavement Options'!M33)+('CO2e Factors'!$F$83*'Emissions for Pavement Options'!M33)</f>
        <v>0</v>
      </c>
      <c r="O33" s="41">
        <f t="shared" si="3"/>
        <v>0</v>
      </c>
      <c r="P33" s="155"/>
      <c r="Q33" s="26"/>
    </row>
    <row r="34" spans="3:17" ht="14.5" customHeight="1" x14ac:dyDescent="0.35">
      <c r="C34" s="145"/>
      <c r="D34" s="145"/>
      <c r="E34" s="145"/>
      <c r="F34" s="1" t="s">
        <v>104</v>
      </c>
      <c r="G34" s="81" t="s">
        <v>44</v>
      </c>
      <c r="H34" s="99">
        <v>60</v>
      </c>
      <c r="I34" s="78">
        <f t="shared" si="4"/>
        <v>18000</v>
      </c>
      <c r="J34" s="78">
        <f t="shared" si="2"/>
        <v>43200</v>
      </c>
      <c r="K34" s="81">
        <v>2400</v>
      </c>
      <c r="L34" s="58">
        <f>(IF(G34="",0,IFERROR(VLOOKUP(G34, 'CO2e Factors'!$C$10:$F$79, 4, FALSE) * I34, "")))</f>
        <v>2202.4799999999996</v>
      </c>
      <c r="M34" s="101"/>
      <c r="N34" s="57">
        <f>('CO2e Factors'!$F$82*'Emissions for Pavement Options'!J34*'Emissions for Pavement Options'!M34)+('CO2e Factors'!$F$83*'Emissions for Pavement Options'!M34)</f>
        <v>0</v>
      </c>
      <c r="O34" s="41">
        <f t="shared" si="3"/>
        <v>2202.4799999999996</v>
      </c>
      <c r="P34" s="155"/>
      <c r="Q34" s="26"/>
    </row>
    <row r="35" spans="3:17" ht="14.5" customHeight="1" x14ac:dyDescent="0.35">
      <c r="C35" s="145"/>
      <c r="D35" s="145"/>
      <c r="E35" s="145"/>
      <c r="F35" s="1" t="s">
        <v>105</v>
      </c>
      <c r="G35" s="81" t="s">
        <v>42</v>
      </c>
      <c r="H35" s="99">
        <v>40</v>
      </c>
      <c r="I35" s="78">
        <f t="shared" si="4"/>
        <v>12000</v>
      </c>
      <c r="J35" s="78">
        <f t="shared" si="2"/>
        <v>28800</v>
      </c>
      <c r="K35" s="81">
        <v>2400</v>
      </c>
      <c r="L35" s="58">
        <f>(IF(G35="",0,IFERROR(VLOOKUP(G35, 'CO2e Factors'!$C$10:$F$79, 4, FALSE) * I35, "")))</f>
        <v>1495.9199999999998</v>
      </c>
      <c r="M35" s="101"/>
      <c r="N35" s="57">
        <f>('CO2e Factors'!$F$82*'Emissions for Pavement Options'!J35*'Emissions for Pavement Options'!M35)+('CO2e Factors'!$F$83*'Emissions for Pavement Options'!M35)</f>
        <v>0</v>
      </c>
      <c r="O35" s="41">
        <f t="shared" si="3"/>
        <v>1495.9199999999998</v>
      </c>
      <c r="P35" s="155"/>
      <c r="Q35" t="s">
        <v>252</v>
      </c>
    </row>
    <row r="36" spans="3:17" ht="14.5" customHeight="1" x14ac:dyDescent="0.35">
      <c r="C36" s="145"/>
      <c r="D36" s="145"/>
      <c r="E36" s="145"/>
      <c r="F36" s="1" t="s">
        <v>106</v>
      </c>
      <c r="G36" s="81" t="s">
        <v>146</v>
      </c>
      <c r="H36" s="99">
        <v>10</v>
      </c>
      <c r="I36" s="78">
        <f>$D$24*$E$24*1000</f>
        <v>300000</v>
      </c>
      <c r="J36" s="78">
        <f>I36*K36*(H36/1000)/1000</f>
        <v>5400</v>
      </c>
      <c r="K36" s="81">
        <v>1800</v>
      </c>
      <c r="L36" s="58">
        <f>(IF(G36="",0,IFERROR(VLOOKUP(G36, 'CO2e Factors'!$C$10:$F$79, 4, FALSE) * I36, "")))</f>
        <v>100.05371249999999</v>
      </c>
      <c r="M36" s="101"/>
      <c r="N36" s="57">
        <f>('CO2e Factors'!$F$82*'Emissions for Pavement Options'!J36*'Emissions for Pavement Options'!M36)+('CO2e Factors'!$F$83*'Emissions for Pavement Options'!M36)</f>
        <v>0</v>
      </c>
      <c r="O36" s="41">
        <f t="shared" si="3"/>
        <v>100.05371249999999</v>
      </c>
      <c r="P36" s="155"/>
      <c r="Q36" s="26"/>
    </row>
    <row r="37" spans="3:17" ht="14.5" customHeight="1" x14ac:dyDescent="0.35">
      <c r="C37" s="145"/>
      <c r="D37" s="145"/>
      <c r="E37" s="145"/>
      <c r="F37" s="1" t="s">
        <v>184</v>
      </c>
      <c r="G37" s="81"/>
      <c r="H37" s="99"/>
      <c r="I37" s="78">
        <f t="shared" si="4"/>
        <v>0</v>
      </c>
      <c r="J37" s="78">
        <f>I37*K37/1000</f>
        <v>0</v>
      </c>
      <c r="K37" s="81">
        <v>2400</v>
      </c>
      <c r="L37" s="58">
        <f>(IF(G37="",0,IFERROR(VLOOKUP(G37, 'CO2e Factors'!$C$10:$F$79, 4, FALSE) * I37, "")))</f>
        <v>0</v>
      </c>
      <c r="M37" s="101"/>
      <c r="N37" s="57">
        <f>('CO2e Factors'!$F$82*'Emissions for Pavement Options'!J37*'Emissions for Pavement Options'!M37)+('CO2e Factors'!$F$83*'Emissions for Pavement Options'!M37)</f>
        <v>0</v>
      </c>
      <c r="O37" s="41">
        <f t="shared" si="3"/>
        <v>0</v>
      </c>
      <c r="P37" s="155"/>
      <c r="Q37" s="26"/>
    </row>
    <row r="38" spans="3:17" ht="14.5" customHeight="1" x14ac:dyDescent="0.35">
      <c r="C38" s="145"/>
      <c r="D38" s="145"/>
      <c r="E38" s="145"/>
      <c r="F38" s="1" t="s">
        <v>185</v>
      </c>
      <c r="G38" s="81" t="s">
        <v>146</v>
      </c>
      <c r="H38" s="99">
        <v>10</v>
      </c>
      <c r="I38" s="78">
        <f>$D$24*$E$24*1000</f>
        <v>300000</v>
      </c>
      <c r="J38" s="78">
        <f>I38*K38*(H38/1000)/1000</f>
        <v>5400</v>
      </c>
      <c r="K38" s="81">
        <v>1800</v>
      </c>
      <c r="L38" s="58">
        <f>(IF(G38="",0,IFERROR(VLOOKUP(G38, 'CO2e Factors'!$C$10:$F$79, 4, FALSE) * I38, "")))</f>
        <v>100.05371249999999</v>
      </c>
      <c r="M38" s="101"/>
      <c r="N38" s="57">
        <f>('CO2e Factors'!$F$82*'Emissions for Pavement Options'!J38*'Emissions for Pavement Options'!M38)+('CO2e Factors'!$F$83*'Emissions for Pavement Options'!M38)</f>
        <v>0</v>
      </c>
      <c r="O38" s="41">
        <f t="shared" si="3"/>
        <v>100.05371249999999</v>
      </c>
      <c r="P38" s="155"/>
      <c r="Q38" s="26"/>
    </row>
    <row r="39" spans="3:17" ht="14.5" customHeight="1" x14ac:dyDescent="0.35">
      <c r="C39" s="145"/>
      <c r="D39" s="145"/>
      <c r="E39" s="145"/>
      <c r="F39" s="1" t="s">
        <v>188</v>
      </c>
      <c r="G39" s="81"/>
      <c r="H39" s="99">
        <v>1</v>
      </c>
      <c r="I39" s="78">
        <f>$D$24*$E$24</f>
        <v>300</v>
      </c>
      <c r="J39" s="78">
        <f t="shared" si="2"/>
        <v>300</v>
      </c>
      <c r="K39" s="81">
        <v>1000</v>
      </c>
      <c r="L39" s="58">
        <f>(IF(G39="",0,IFERROR(VLOOKUP(G39, 'CO2e Factors'!$C$10:$F$79, 4, FALSE) * I39, "")))*1000</f>
        <v>0</v>
      </c>
      <c r="M39" s="101"/>
      <c r="N39" s="57">
        <f>('CO2e Factors'!$F$82*'Emissions for Pavement Options'!J39*'Emissions for Pavement Options'!M39)+('CO2e Factors'!$F$83*'Emissions for Pavement Options'!M39)</f>
        <v>0</v>
      </c>
      <c r="O39" s="41">
        <f t="shared" si="3"/>
        <v>0</v>
      </c>
      <c r="P39" s="155"/>
      <c r="Q39" s="26"/>
    </row>
    <row r="40" spans="3:17" ht="14.5" customHeight="1" x14ac:dyDescent="0.35">
      <c r="C40" s="145"/>
      <c r="D40" s="145"/>
      <c r="E40" s="145"/>
      <c r="F40" s="1" t="s">
        <v>189</v>
      </c>
      <c r="G40" s="81"/>
      <c r="H40" s="99">
        <v>1</v>
      </c>
      <c r="I40" s="78">
        <f>$D$24*$E$24</f>
        <v>300</v>
      </c>
      <c r="J40" s="78">
        <f t="shared" si="2"/>
        <v>300</v>
      </c>
      <c r="K40" s="81">
        <v>1000</v>
      </c>
      <c r="L40" s="58">
        <f>(IF(G40="",0,IFERROR(VLOOKUP(G40, 'CO2e Factors'!$C$10:$F$79, 4, FALSE) * I40, "")))*1000</f>
        <v>0</v>
      </c>
      <c r="M40" s="101"/>
      <c r="N40" s="57">
        <f>('CO2e Factors'!$F$82*'Emissions for Pavement Options'!J40*'Emissions for Pavement Options'!M40)+('CO2e Factors'!$F$83*'Emissions for Pavement Options'!M40)</f>
        <v>0</v>
      </c>
      <c r="O40" s="41">
        <f t="shared" si="3"/>
        <v>0</v>
      </c>
      <c r="P40" s="155"/>
      <c r="Q40" s="26"/>
    </row>
    <row r="41" spans="3:17" ht="14.5" customHeight="1" x14ac:dyDescent="0.35">
      <c r="C41" s="145"/>
      <c r="D41" s="145"/>
      <c r="E41" s="145"/>
      <c r="F41" s="1" t="s">
        <v>195</v>
      </c>
      <c r="G41" s="81"/>
      <c r="H41" s="99">
        <v>1</v>
      </c>
      <c r="I41" s="78">
        <f>$D$24*$E$24</f>
        <v>300</v>
      </c>
      <c r="J41" s="78">
        <f t="shared" si="2"/>
        <v>300</v>
      </c>
      <c r="K41" s="81">
        <v>1000</v>
      </c>
      <c r="L41" s="58">
        <f>(IF(G41="",0,IFERROR(VLOOKUP(G41, 'CO2e Factors'!$C$10:$F$79, 4, FALSE) * I41, "")))*1000</f>
        <v>0</v>
      </c>
      <c r="M41" s="101"/>
      <c r="N41" s="57">
        <f>('CO2e Factors'!$F$82*'Emissions for Pavement Options'!J41*'Emissions for Pavement Options'!M41)+('CO2e Factors'!$F$83*'Emissions for Pavement Options'!M41)</f>
        <v>0</v>
      </c>
      <c r="O41" s="41">
        <f t="shared" si="3"/>
        <v>0</v>
      </c>
      <c r="P41" s="155"/>
      <c r="Q41" s="26"/>
    </row>
    <row r="42" spans="3:17" ht="14.5" customHeight="1" x14ac:dyDescent="0.35">
      <c r="C42" s="145"/>
      <c r="D42" s="145"/>
      <c r="E42" s="145"/>
      <c r="F42" s="1" t="s">
        <v>186</v>
      </c>
      <c r="G42" s="81"/>
      <c r="H42" s="99">
        <v>0</v>
      </c>
      <c r="I42" s="78">
        <f>$D$24*$E$24*H42</f>
        <v>0</v>
      </c>
      <c r="J42" s="78">
        <f t="shared" si="2"/>
        <v>0</v>
      </c>
      <c r="K42" s="81">
        <v>2400</v>
      </c>
      <c r="L42" s="58">
        <f>(IF(G42="",0,IFERROR(VLOOKUP(G42, 'CO2e Factors'!$C$10:$F$79, 4, FALSE) * I42, "")))</f>
        <v>0</v>
      </c>
      <c r="M42" s="101"/>
      <c r="N42" s="57">
        <f>('CO2e Factors'!$F$82*'Emissions for Pavement Options'!J42*'Emissions for Pavement Options'!M42)+('CO2e Factors'!$F$83*'Emissions for Pavement Options'!M42)</f>
        <v>0</v>
      </c>
      <c r="O42" s="41">
        <f t="shared" si="3"/>
        <v>0</v>
      </c>
      <c r="P42" s="155"/>
      <c r="Q42" s="26"/>
    </row>
    <row r="43" spans="3:17" ht="14.5" customHeight="1" x14ac:dyDescent="0.35">
      <c r="C43" s="146"/>
      <c r="D43" s="146"/>
      <c r="E43" s="146"/>
      <c r="F43" s="1" t="s">
        <v>187</v>
      </c>
      <c r="G43" s="81"/>
      <c r="H43" s="99"/>
      <c r="I43" s="78"/>
      <c r="J43" s="78"/>
      <c r="K43" s="81">
        <v>7750</v>
      </c>
      <c r="L43" s="58">
        <f>(IF(G43="",0,IFERROR(VLOOKUP(G43, 'CO2e Factors'!$C$10:$F$79, 4, FALSE) * J43, "")))</f>
        <v>0</v>
      </c>
      <c r="M43" s="101"/>
      <c r="N43" s="57">
        <f>('CO2e Factors'!$F$82*'Emissions for Pavement Options'!J43*'Emissions for Pavement Options'!M43)+('CO2e Factors'!$F$83*'Emissions for Pavement Options'!M43)</f>
        <v>0</v>
      </c>
      <c r="O43" s="41">
        <f t="shared" si="3"/>
        <v>0</v>
      </c>
      <c r="P43" s="156"/>
      <c r="Q43" s="26"/>
    </row>
    <row r="44" spans="3:17" ht="14.5" customHeight="1" x14ac:dyDescent="0.35">
      <c r="C44" s="144">
        <v>3</v>
      </c>
      <c r="D44" s="144">
        <v>40</v>
      </c>
      <c r="E44" s="144">
        <v>10</v>
      </c>
      <c r="F44" s="1" t="s">
        <v>159</v>
      </c>
      <c r="G44" s="98"/>
      <c r="H44" s="99"/>
      <c r="I44" s="78"/>
      <c r="J44" s="79"/>
      <c r="K44" s="80"/>
      <c r="L44" s="57">
        <f>('CO2e Factors'!$F$5*'Emissions for Pavement Options'!I44)</f>
        <v>0</v>
      </c>
      <c r="M44" s="100"/>
      <c r="N44" s="57">
        <f>('CO2e Factors'!$F$82*'Emissions for Pavement Options'!J44*'Emissions for Pavement Options'!M44)+('CO2e Factors'!$F$83*'Emissions for Pavement Options'!M44)</f>
        <v>0</v>
      </c>
      <c r="O44" s="41">
        <f>L44+N44</f>
        <v>0</v>
      </c>
      <c r="P44" s="154">
        <f>SUM(O44:O63)</f>
        <v>11333.71759196773</v>
      </c>
    </row>
    <row r="45" spans="3:17" ht="14.5" customHeight="1" x14ac:dyDescent="0.35">
      <c r="C45" s="145"/>
      <c r="D45" s="145"/>
      <c r="E45" s="145"/>
      <c r="F45" s="1" t="s">
        <v>68</v>
      </c>
      <c r="G45" s="98"/>
      <c r="H45" s="99">
        <v>200</v>
      </c>
      <c r="I45" s="78">
        <f>$D$44*$E$44*H45</f>
        <v>80000</v>
      </c>
      <c r="J45" s="79"/>
      <c r="K45" s="81">
        <v>2100</v>
      </c>
      <c r="L45" s="57">
        <f>('CO2e Factors'!$F$6*'Emissions for Pavement Options'!I45)</f>
        <v>25.915555555555553</v>
      </c>
      <c r="M45" s="100"/>
      <c r="N45" s="57">
        <f>('CO2e Factors'!$F$82*'Emissions for Pavement Options'!J45*'Emissions for Pavement Options'!M45)+('CO2e Factors'!$F$83*'Emissions for Pavement Options'!M45)</f>
        <v>0</v>
      </c>
      <c r="O45" s="41">
        <f t="shared" ref="O45:O63" si="5">L45+N45</f>
        <v>25.915555555555553</v>
      </c>
      <c r="P45" s="155"/>
    </row>
    <row r="46" spans="3:17" ht="14.5" customHeight="1" x14ac:dyDescent="0.35">
      <c r="C46" s="145"/>
      <c r="D46" s="145"/>
      <c r="E46" s="145"/>
      <c r="F46" s="1" t="s">
        <v>204</v>
      </c>
      <c r="G46" s="98"/>
      <c r="H46" s="99">
        <v>300</v>
      </c>
      <c r="I46" s="78">
        <f>$D$44*$E$44*H46</f>
        <v>120000</v>
      </c>
      <c r="J46" s="78">
        <f>I46*K46/1000</f>
        <v>252000</v>
      </c>
      <c r="K46" s="81">
        <v>2100</v>
      </c>
      <c r="L46" s="57">
        <f>('CO2e Factors'!$F$7*'Emissions for Pavement Options'!I46)</f>
        <v>15.412136412176684</v>
      </c>
      <c r="M46" s="100"/>
      <c r="N46" s="57">
        <f>('CO2e Factors'!$F$82*'Emissions for Pavement Options'!J46*'Emissions for Pavement Options'!M46)+('CO2e Factors'!$F$83*'Emissions for Pavement Options'!M46)</f>
        <v>0</v>
      </c>
      <c r="O46" s="41">
        <f t="shared" si="5"/>
        <v>15.412136412176684</v>
      </c>
      <c r="P46" s="155"/>
    </row>
    <row r="47" spans="3:17" ht="14.5" customHeight="1" x14ac:dyDescent="0.35">
      <c r="C47" s="145"/>
      <c r="D47" s="145"/>
      <c r="E47" s="145"/>
      <c r="F47" s="1" t="s">
        <v>160</v>
      </c>
      <c r="G47" s="98"/>
      <c r="H47" s="99"/>
      <c r="I47" s="82"/>
      <c r="J47" s="78"/>
      <c r="K47" s="80"/>
      <c r="L47" s="57">
        <f>('CO2e Factors'!$F$8*'Emissions for Pavement Options'!J47)</f>
        <v>0</v>
      </c>
      <c r="M47" s="100"/>
      <c r="N47" s="57">
        <f>('CO2e Factors'!$F$82*'Emissions for Pavement Options'!J47*'Emissions for Pavement Options'!M47)+('CO2e Factors'!$F$83*'Emissions for Pavement Options'!M47)</f>
        <v>0</v>
      </c>
      <c r="O47" s="41">
        <f t="shared" si="5"/>
        <v>0</v>
      </c>
      <c r="P47" s="155"/>
    </row>
    <row r="48" spans="3:17" ht="14.5" customHeight="1" x14ac:dyDescent="0.35">
      <c r="C48" s="145"/>
      <c r="D48" s="145"/>
      <c r="E48" s="145"/>
      <c r="F48" s="1" t="s">
        <v>112</v>
      </c>
      <c r="G48" s="81"/>
      <c r="H48" s="99">
        <v>0</v>
      </c>
      <c r="I48" s="78">
        <f t="shared" ref="I48:I57" si="6">$D$44*$E$44*H48</f>
        <v>0</v>
      </c>
      <c r="J48" s="78">
        <f t="shared" si="2"/>
        <v>0</v>
      </c>
      <c r="K48" s="81">
        <v>2000</v>
      </c>
      <c r="L48" s="58">
        <f>(IF(G48="",0,IFERROR(VLOOKUP(G48, 'CO2e Factors'!$C$10:$F$79, 4, FALSE) * I48, "")))</f>
        <v>0</v>
      </c>
      <c r="M48" s="101"/>
      <c r="N48" s="57">
        <f>('CO2e Factors'!$F$82*'Emissions for Pavement Options'!J48*'Emissions for Pavement Options'!M48)+('CO2e Factors'!$F$83*'Emissions for Pavement Options'!M48)</f>
        <v>0</v>
      </c>
      <c r="O48" s="41">
        <f t="shared" si="5"/>
        <v>0</v>
      </c>
      <c r="P48" s="155"/>
    </row>
    <row r="49" spans="3:17" ht="14.5" customHeight="1" x14ac:dyDescent="0.35">
      <c r="C49" s="145"/>
      <c r="D49" s="145"/>
      <c r="E49" s="145"/>
      <c r="F49" s="1" t="s">
        <v>111</v>
      </c>
      <c r="G49" s="81" t="s">
        <v>120</v>
      </c>
      <c r="H49" s="99">
        <v>250</v>
      </c>
      <c r="I49" s="78">
        <f t="shared" si="6"/>
        <v>100000</v>
      </c>
      <c r="J49" s="78">
        <f t="shared" si="2"/>
        <v>180000</v>
      </c>
      <c r="K49" s="81">
        <v>1800</v>
      </c>
      <c r="L49" s="58">
        <f>(IF(G49="",0,IFERROR(VLOOKUP(G49, 'CO2e Factors'!$C$10:$F$79, 4, FALSE) * I49, "")))</f>
        <v>32</v>
      </c>
      <c r="M49" s="101"/>
      <c r="N49" s="57">
        <f>('CO2e Factors'!$F$82*'Emissions for Pavement Options'!J49*'Emissions for Pavement Options'!M49)+('CO2e Factors'!$F$83*'Emissions for Pavement Options'!M49)</f>
        <v>0</v>
      </c>
      <c r="O49" s="41">
        <f t="shared" si="5"/>
        <v>32</v>
      </c>
      <c r="P49" s="155"/>
    </row>
    <row r="50" spans="3:17" ht="14.5" customHeight="1" x14ac:dyDescent="0.35">
      <c r="C50" s="145"/>
      <c r="D50" s="145"/>
      <c r="E50" s="145"/>
      <c r="F50" s="1" t="s">
        <v>100</v>
      </c>
      <c r="G50" s="81" t="s">
        <v>40</v>
      </c>
      <c r="H50" s="99">
        <v>250</v>
      </c>
      <c r="I50" s="78">
        <f t="shared" si="6"/>
        <v>100000</v>
      </c>
      <c r="J50" s="78">
        <f t="shared" si="2"/>
        <v>180000</v>
      </c>
      <c r="K50" s="81">
        <v>1800</v>
      </c>
      <c r="L50" s="58">
        <f>(IF(G50="",0,IFERROR(VLOOKUP(G50, 'CO2e Factors'!$C$10:$F$79, 4, FALSE) * I50, "")))</f>
        <v>5510.5</v>
      </c>
      <c r="M50" s="101"/>
      <c r="N50" s="57">
        <f>('CO2e Factors'!$F$82*'Emissions for Pavement Options'!J50*'Emissions for Pavement Options'!M50)+('CO2e Factors'!$F$83*'Emissions for Pavement Options'!M50)</f>
        <v>0</v>
      </c>
      <c r="O50" s="41">
        <f t="shared" si="5"/>
        <v>5510.5</v>
      </c>
      <c r="P50" s="155"/>
    </row>
    <row r="51" spans="3:17" ht="14.5" customHeight="1" x14ac:dyDescent="0.35">
      <c r="C51" s="145"/>
      <c r="D51" s="145"/>
      <c r="E51" s="145"/>
      <c r="F51" s="1" t="s">
        <v>101</v>
      </c>
      <c r="G51" s="81"/>
      <c r="H51" s="99"/>
      <c r="I51" s="78">
        <f t="shared" si="6"/>
        <v>0</v>
      </c>
      <c r="J51" s="78">
        <f t="shared" si="2"/>
        <v>0</v>
      </c>
      <c r="K51" s="81">
        <v>1800</v>
      </c>
      <c r="L51" s="58">
        <f>(IF(G51="",0,IFERROR(VLOOKUP(G51, 'CO2e Factors'!$C$10:$F$79, 4, FALSE) * I51, "")))</f>
        <v>0</v>
      </c>
      <c r="M51" s="101"/>
      <c r="N51" s="57">
        <f>('CO2e Factors'!$F$82*'Emissions for Pavement Options'!J51*'Emissions for Pavement Options'!M51)+('CO2e Factors'!$F$83*'Emissions for Pavement Options'!M51)</f>
        <v>0</v>
      </c>
      <c r="O51" s="41">
        <f t="shared" si="5"/>
        <v>0</v>
      </c>
      <c r="P51" s="155"/>
    </row>
    <row r="52" spans="3:17" ht="14.5" customHeight="1" x14ac:dyDescent="0.35">
      <c r="C52" s="145"/>
      <c r="D52" s="145"/>
      <c r="E52" s="145"/>
      <c r="F52" s="1" t="s">
        <v>103</v>
      </c>
      <c r="G52" s="81" t="s">
        <v>34</v>
      </c>
      <c r="H52" s="99">
        <v>175</v>
      </c>
      <c r="I52" s="78">
        <f t="shared" si="6"/>
        <v>70000</v>
      </c>
      <c r="J52" s="78">
        <f t="shared" si="2"/>
        <v>119000</v>
      </c>
      <c r="K52" s="81">
        <v>1700</v>
      </c>
      <c r="L52" s="58">
        <f>(IF(G52="",0,IFERROR(VLOOKUP(G52, 'CO2e Factors'!$C$10:$F$79, 4, FALSE) * I52, "")))</f>
        <v>551.88</v>
      </c>
      <c r="M52" s="101"/>
      <c r="N52" s="57">
        <f>('CO2e Factors'!$F$82*'Emissions for Pavement Options'!J52*'Emissions for Pavement Options'!M52)+('CO2e Factors'!$F$83*'Emissions for Pavement Options'!M52)</f>
        <v>0</v>
      </c>
      <c r="O52" s="41">
        <f t="shared" si="5"/>
        <v>551.88</v>
      </c>
      <c r="P52" s="155"/>
    </row>
    <row r="53" spans="3:17" ht="14.5" customHeight="1" x14ac:dyDescent="0.35">
      <c r="C53" s="145"/>
      <c r="D53" s="145"/>
      <c r="E53" s="145"/>
      <c r="F53" s="1" t="s">
        <v>102</v>
      </c>
      <c r="G53" s="81"/>
      <c r="H53" s="99"/>
      <c r="I53" s="78">
        <f t="shared" si="6"/>
        <v>0</v>
      </c>
      <c r="J53" s="78">
        <f t="shared" si="2"/>
        <v>0</v>
      </c>
      <c r="K53" s="81">
        <v>1700</v>
      </c>
      <c r="L53" s="58">
        <f>(IF(G53="",0,IFERROR(VLOOKUP(G53, 'CO2e Factors'!$C$10:$F$79, 4, FALSE) * I53, "")))</f>
        <v>0</v>
      </c>
      <c r="M53" s="101"/>
      <c r="N53" s="57">
        <f>('CO2e Factors'!$F$82*'Emissions for Pavement Options'!J53*'Emissions for Pavement Options'!M53)+('CO2e Factors'!$F$83*'Emissions for Pavement Options'!M53)</f>
        <v>0</v>
      </c>
      <c r="O53" s="41">
        <f t="shared" si="5"/>
        <v>0</v>
      </c>
      <c r="P53" s="155"/>
    </row>
    <row r="54" spans="3:17" ht="14.5" customHeight="1" x14ac:dyDescent="0.35">
      <c r="C54" s="145"/>
      <c r="D54" s="145"/>
      <c r="E54" s="145"/>
      <c r="F54" s="1" t="s">
        <v>104</v>
      </c>
      <c r="G54" s="81" t="s">
        <v>44</v>
      </c>
      <c r="H54" s="99">
        <v>60</v>
      </c>
      <c r="I54" s="78">
        <f t="shared" si="6"/>
        <v>24000</v>
      </c>
      <c r="J54" s="78">
        <f t="shared" si="2"/>
        <v>57600</v>
      </c>
      <c r="K54" s="81">
        <v>2400</v>
      </c>
      <c r="L54" s="58">
        <f>(IF(G54="",0,IFERROR(VLOOKUP(G54, 'CO2e Factors'!$C$10:$F$79, 4, FALSE) * I54, "")))</f>
        <v>2936.6399999999994</v>
      </c>
      <c r="M54" s="101"/>
      <c r="N54" s="57">
        <f>('CO2e Factors'!$F$82*'Emissions for Pavement Options'!J54*'Emissions for Pavement Options'!M54)+('CO2e Factors'!$F$83*'Emissions for Pavement Options'!M54)</f>
        <v>0</v>
      </c>
      <c r="O54" s="41">
        <f t="shared" si="5"/>
        <v>2936.6399999999994</v>
      </c>
      <c r="P54" s="155"/>
    </row>
    <row r="55" spans="3:17" ht="14.5" customHeight="1" x14ac:dyDescent="0.35">
      <c r="C55" s="145"/>
      <c r="D55" s="145"/>
      <c r="E55" s="145"/>
      <c r="F55" s="1" t="s">
        <v>105</v>
      </c>
      <c r="G55" s="81" t="s">
        <v>42</v>
      </c>
      <c r="H55" s="99">
        <v>40</v>
      </c>
      <c r="I55" s="78">
        <f>$D$44*$E$44*H55</f>
        <v>16000</v>
      </c>
      <c r="J55" s="78">
        <f t="shared" si="2"/>
        <v>38400</v>
      </c>
      <c r="K55" s="81">
        <v>2400</v>
      </c>
      <c r="L55" s="58">
        <f>(IF(G55="",0,IFERROR(VLOOKUP(G55, 'CO2e Factors'!$C$10:$F$79, 4, FALSE) * I55, "")))</f>
        <v>1994.56</v>
      </c>
      <c r="M55" s="101"/>
      <c r="N55" s="57">
        <f>('CO2e Factors'!$F$82*'Emissions for Pavement Options'!J55*'Emissions for Pavement Options'!M55)+('CO2e Factors'!$F$83*'Emissions for Pavement Options'!M55)</f>
        <v>0</v>
      </c>
      <c r="O55" s="41">
        <f t="shared" si="5"/>
        <v>1994.56</v>
      </c>
      <c r="P55" s="155"/>
      <c r="Q55" t="s">
        <v>252</v>
      </c>
    </row>
    <row r="56" spans="3:17" ht="14.5" customHeight="1" x14ac:dyDescent="0.35">
      <c r="C56" s="145"/>
      <c r="D56" s="145"/>
      <c r="E56" s="145"/>
      <c r="F56" s="1" t="s">
        <v>106</v>
      </c>
      <c r="G56" s="81" t="s">
        <v>146</v>
      </c>
      <c r="H56" s="99">
        <v>10</v>
      </c>
      <c r="I56" s="78">
        <f>$D$44*$E$44*1000</f>
        <v>400000</v>
      </c>
      <c r="J56" s="78">
        <f>I56*K56*(H56/1000)/1000</f>
        <v>7200</v>
      </c>
      <c r="K56" s="81">
        <v>1800</v>
      </c>
      <c r="L56" s="58">
        <f>(IF(G56="",0,IFERROR(VLOOKUP(G56, 'CO2e Factors'!$C$10:$F$79, 4, FALSE) * I56, "")))</f>
        <v>133.40494999999999</v>
      </c>
      <c r="M56" s="101"/>
      <c r="N56" s="57">
        <f>('CO2e Factors'!$F$82*'Emissions for Pavement Options'!J56*'Emissions for Pavement Options'!M56)+('CO2e Factors'!$F$83*'Emissions for Pavement Options'!M56)</f>
        <v>0</v>
      </c>
      <c r="O56" s="41">
        <f t="shared" si="5"/>
        <v>133.40494999999999</v>
      </c>
      <c r="P56" s="155"/>
    </row>
    <row r="57" spans="3:17" ht="14.5" customHeight="1" x14ac:dyDescent="0.35">
      <c r="C57" s="145"/>
      <c r="D57" s="145"/>
      <c r="E57" s="145"/>
      <c r="F57" s="1" t="s">
        <v>184</v>
      </c>
      <c r="G57" s="81"/>
      <c r="H57" s="99"/>
      <c r="I57" s="78">
        <f t="shared" si="6"/>
        <v>0</v>
      </c>
      <c r="J57" s="78">
        <f>I57*K57/1000</f>
        <v>0</v>
      </c>
      <c r="K57" s="81">
        <v>2400</v>
      </c>
      <c r="L57" s="58">
        <f>(IF(G57="",0,IFERROR(VLOOKUP(G57, 'CO2e Factors'!$C$10:$F$79, 4, FALSE) * I57, "")))</f>
        <v>0</v>
      </c>
      <c r="M57" s="101"/>
      <c r="N57" s="57">
        <f>('CO2e Factors'!$F$82*'Emissions for Pavement Options'!J57*'Emissions for Pavement Options'!M57)+('CO2e Factors'!$F$83*'Emissions for Pavement Options'!M57)</f>
        <v>0</v>
      </c>
      <c r="O57" s="41">
        <f t="shared" si="5"/>
        <v>0</v>
      </c>
      <c r="P57" s="155"/>
    </row>
    <row r="58" spans="3:17" ht="14.5" customHeight="1" x14ac:dyDescent="0.35">
      <c r="C58" s="145"/>
      <c r="D58" s="145"/>
      <c r="E58" s="145"/>
      <c r="F58" s="1" t="s">
        <v>185</v>
      </c>
      <c r="G58" s="81" t="s">
        <v>146</v>
      </c>
      <c r="H58" s="99">
        <v>10</v>
      </c>
      <c r="I58" s="78">
        <f>$D$44*$E$44*1000</f>
        <v>400000</v>
      </c>
      <c r="J58" s="78">
        <f>I58*K58*(H58/1000)/1000</f>
        <v>7200</v>
      </c>
      <c r="K58" s="81">
        <v>1800</v>
      </c>
      <c r="L58" s="58">
        <f>(IF(G58="",0,IFERROR(VLOOKUP(G58, 'CO2e Factors'!$C$10:$F$79, 4, FALSE) * I58, "")))</f>
        <v>133.40494999999999</v>
      </c>
      <c r="M58" s="101"/>
      <c r="N58" s="57">
        <f>('CO2e Factors'!$F$82*'Emissions for Pavement Options'!J58*'Emissions for Pavement Options'!M58)+('CO2e Factors'!$F$83*'Emissions for Pavement Options'!M58)</f>
        <v>0</v>
      </c>
      <c r="O58" s="41">
        <f t="shared" si="5"/>
        <v>133.40494999999999</v>
      </c>
      <c r="P58" s="155"/>
    </row>
    <row r="59" spans="3:17" ht="14.5" customHeight="1" x14ac:dyDescent="0.35">
      <c r="C59" s="145"/>
      <c r="D59" s="145"/>
      <c r="E59" s="145"/>
      <c r="F59" s="1" t="s">
        <v>188</v>
      </c>
      <c r="G59" s="81"/>
      <c r="H59" s="99">
        <v>1</v>
      </c>
      <c r="I59" s="78">
        <f>$D$44*$E$44</f>
        <v>400</v>
      </c>
      <c r="J59" s="78">
        <f t="shared" si="2"/>
        <v>400</v>
      </c>
      <c r="K59" s="81">
        <v>1000</v>
      </c>
      <c r="L59" s="58">
        <f>(IF(G59="",0,IFERROR(VLOOKUP(G59, 'CO2e Factors'!$C$10:$F$79, 4, FALSE) * I59, "")))*1000</f>
        <v>0</v>
      </c>
      <c r="M59" s="101"/>
      <c r="N59" s="57">
        <f>('CO2e Factors'!$F$82*'Emissions for Pavement Options'!J59*'Emissions for Pavement Options'!M59)+('CO2e Factors'!$F$83*'Emissions for Pavement Options'!M59)</f>
        <v>0</v>
      </c>
      <c r="O59" s="41">
        <f t="shared" si="5"/>
        <v>0</v>
      </c>
      <c r="P59" s="155"/>
    </row>
    <row r="60" spans="3:17" ht="14.5" customHeight="1" x14ac:dyDescent="0.35">
      <c r="C60" s="145"/>
      <c r="D60" s="145"/>
      <c r="E60" s="145"/>
      <c r="F60" s="1" t="s">
        <v>189</v>
      </c>
      <c r="G60" s="81"/>
      <c r="H60" s="99">
        <v>1</v>
      </c>
      <c r="I60" s="78">
        <f>$D$44*$E$44</f>
        <v>400</v>
      </c>
      <c r="J60" s="78">
        <f t="shared" si="2"/>
        <v>400</v>
      </c>
      <c r="K60" s="81">
        <v>1000</v>
      </c>
      <c r="L60" s="58">
        <f>(IF(G60="",0,IFERROR(VLOOKUP(G60, 'CO2e Factors'!$C$10:$F$79, 4, FALSE) * I60, "")))*1000</f>
        <v>0</v>
      </c>
      <c r="M60" s="101"/>
      <c r="N60" s="57">
        <f>('CO2e Factors'!$F$82*'Emissions for Pavement Options'!J60*'Emissions for Pavement Options'!M60)+('CO2e Factors'!$F$83*'Emissions for Pavement Options'!M60)</f>
        <v>0</v>
      </c>
      <c r="O60" s="41">
        <f t="shared" si="5"/>
        <v>0</v>
      </c>
      <c r="P60" s="155"/>
    </row>
    <row r="61" spans="3:17" ht="14.5" customHeight="1" x14ac:dyDescent="0.35">
      <c r="C61" s="145"/>
      <c r="D61" s="145"/>
      <c r="E61" s="145"/>
      <c r="F61" s="1" t="s">
        <v>195</v>
      </c>
      <c r="G61" s="81"/>
      <c r="H61" s="99">
        <v>1</v>
      </c>
      <c r="I61" s="78">
        <f>$D$44*$E$44</f>
        <v>400</v>
      </c>
      <c r="J61" s="78">
        <f t="shared" si="2"/>
        <v>400</v>
      </c>
      <c r="K61" s="81">
        <v>1000</v>
      </c>
      <c r="L61" s="58">
        <f>(IF(G61="",0,IFERROR(VLOOKUP(G61, 'CO2e Factors'!$C$10:$F$79, 4, FALSE) * I61, "")))*1000</f>
        <v>0</v>
      </c>
      <c r="M61" s="101"/>
      <c r="N61" s="57">
        <f>('CO2e Factors'!$F$82*'Emissions for Pavement Options'!J61*'Emissions for Pavement Options'!M61)+('CO2e Factors'!$F$83*'Emissions for Pavement Options'!M61)</f>
        <v>0</v>
      </c>
      <c r="O61" s="41">
        <f t="shared" si="5"/>
        <v>0</v>
      </c>
      <c r="P61" s="155"/>
    </row>
    <row r="62" spans="3:17" ht="14.5" customHeight="1" x14ac:dyDescent="0.35">
      <c r="C62" s="145"/>
      <c r="D62" s="145"/>
      <c r="E62" s="145"/>
      <c r="F62" s="1" t="s">
        <v>186</v>
      </c>
      <c r="G62" s="81"/>
      <c r="H62" s="99">
        <v>0</v>
      </c>
      <c r="I62" s="78">
        <f>$D$44*$E$44*H62</f>
        <v>0</v>
      </c>
      <c r="J62" s="78">
        <f t="shared" si="2"/>
        <v>0</v>
      </c>
      <c r="K62" s="81">
        <v>2400</v>
      </c>
      <c r="L62" s="58">
        <f>(IF(G62="",0,IFERROR(VLOOKUP(G62, 'CO2e Factors'!$C$10:$F$79, 4, FALSE) * I62, "")))</f>
        <v>0</v>
      </c>
      <c r="M62" s="101"/>
      <c r="N62" s="57">
        <f>('CO2e Factors'!$F$82*'Emissions for Pavement Options'!J62*'Emissions for Pavement Options'!M62)+('CO2e Factors'!$F$83*'Emissions for Pavement Options'!M62)</f>
        <v>0</v>
      </c>
      <c r="O62" s="41">
        <f t="shared" si="5"/>
        <v>0</v>
      </c>
      <c r="P62" s="155"/>
    </row>
    <row r="63" spans="3:17" ht="14.5" customHeight="1" x14ac:dyDescent="0.35">
      <c r="C63" s="146"/>
      <c r="D63" s="146"/>
      <c r="E63" s="146"/>
      <c r="F63" s="1" t="s">
        <v>187</v>
      </c>
      <c r="G63" s="81"/>
      <c r="H63" s="99"/>
      <c r="I63" s="78"/>
      <c r="J63" s="78"/>
      <c r="K63" s="81">
        <v>7750</v>
      </c>
      <c r="L63" s="58">
        <f>(IF(G63="",0,IFERROR(VLOOKUP(G63, 'CO2e Factors'!$C$10:$F$79, 4, FALSE) * J63, "")))</f>
        <v>0</v>
      </c>
      <c r="M63" s="101"/>
      <c r="N63" s="57">
        <f>('CO2e Factors'!$F$82*'Emissions for Pavement Options'!J63*'Emissions for Pavement Options'!M63)+('CO2e Factors'!$F$83*'Emissions for Pavement Options'!M63)</f>
        <v>0</v>
      </c>
      <c r="O63" s="41">
        <f t="shared" si="5"/>
        <v>0</v>
      </c>
      <c r="P63" s="156"/>
    </row>
    <row r="64" spans="3:17" ht="21" x14ac:dyDescent="0.5">
      <c r="C64" s="151" t="s">
        <v>161</v>
      </c>
      <c r="D64" s="152"/>
      <c r="E64" s="152"/>
      <c r="F64" s="152"/>
      <c r="G64" s="152"/>
      <c r="H64" s="152"/>
      <c r="I64" s="152"/>
      <c r="J64" s="152"/>
      <c r="K64" s="152"/>
      <c r="L64" s="152"/>
      <c r="M64" s="152"/>
      <c r="N64" s="152"/>
      <c r="O64" s="153"/>
      <c r="P64" s="59">
        <f>P4+P24+P44</f>
        <v>25470.464581927394</v>
      </c>
    </row>
    <row r="65" spans="3:17" x14ac:dyDescent="0.35">
      <c r="C65" s="12"/>
      <c r="D65" s="12"/>
      <c r="E65" s="12"/>
      <c r="J65" s="13"/>
    </row>
    <row r="66" spans="3:17" x14ac:dyDescent="0.35">
      <c r="C66" s="11" t="s">
        <v>127</v>
      </c>
    </row>
    <row r="67" spans="3:17" ht="49.5" customHeight="1" x14ac:dyDescent="0.35">
      <c r="C67" s="6" t="s">
        <v>109</v>
      </c>
      <c r="D67" s="10" t="s">
        <v>114</v>
      </c>
      <c r="E67" s="10" t="s">
        <v>108</v>
      </c>
      <c r="F67" s="6" t="s">
        <v>13</v>
      </c>
      <c r="G67" s="6" t="s">
        <v>69</v>
      </c>
      <c r="H67" s="10" t="s">
        <v>107</v>
      </c>
      <c r="I67" s="10" t="s">
        <v>110</v>
      </c>
      <c r="J67" s="10" t="s">
        <v>113</v>
      </c>
      <c r="K67" s="10" t="s">
        <v>249</v>
      </c>
      <c r="L67" s="10" t="s">
        <v>294</v>
      </c>
      <c r="M67" s="10" t="s">
        <v>248</v>
      </c>
      <c r="N67" s="10" t="s">
        <v>295</v>
      </c>
      <c r="O67" s="10" t="s">
        <v>296</v>
      </c>
      <c r="P67" s="10" t="s">
        <v>297</v>
      </c>
    </row>
    <row r="68" spans="3:17" ht="14.5" customHeight="1" x14ac:dyDescent="0.35">
      <c r="C68" s="144">
        <v>1</v>
      </c>
      <c r="D68" s="144">
        <v>20</v>
      </c>
      <c r="E68" s="144">
        <v>10</v>
      </c>
      <c r="F68" s="1" t="s">
        <v>159</v>
      </c>
      <c r="G68" s="98"/>
      <c r="H68" s="99"/>
      <c r="I68" s="78"/>
      <c r="J68" s="79"/>
      <c r="K68" s="80"/>
      <c r="L68" s="57">
        <f>('CO2e Factors'!$F$5*'Emissions for Pavement Options'!I68)</f>
        <v>0</v>
      </c>
      <c r="M68" s="100"/>
      <c r="N68" s="57">
        <f>('CO2e Factors'!$F$82*'Emissions for Pavement Options'!J68*'Emissions for Pavement Options'!M68)+('CO2e Factors'!$F$83*'Emissions for Pavement Options'!M68)</f>
        <v>0</v>
      </c>
      <c r="O68" s="41">
        <f>L68+N68</f>
        <v>0</v>
      </c>
      <c r="P68" s="154">
        <f>SUM(O68:O87)</f>
        <v>4528.7864079696092</v>
      </c>
    </row>
    <row r="69" spans="3:17" ht="14.5" customHeight="1" x14ac:dyDescent="0.35">
      <c r="C69" s="145"/>
      <c r="D69" s="145"/>
      <c r="E69" s="145"/>
      <c r="F69" s="1" t="s">
        <v>68</v>
      </c>
      <c r="G69" s="98"/>
      <c r="H69" s="99">
        <v>200</v>
      </c>
      <c r="I69" s="78">
        <f>$D$68*$E$68*H69</f>
        <v>40000</v>
      </c>
      <c r="J69" s="79"/>
      <c r="K69" s="81">
        <v>2100</v>
      </c>
      <c r="L69" s="57">
        <f>('CO2e Factors'!$F$6*'Emissions for Pavement Options'!I69)</f>
        <v>12.957777777777777</v>
      </c>
      <c r="M69" s="100"/>
      <c r="N69" s="57">
        <f>('CO2e Factors'!$F$82*'Emissions for Pavement Options'!J69*'Emissions for Pavement Options'!M69)+('CO2e Factors'!$F$83*'Emissions for Pavement Options'!M69)</f>
        <v>0</v>
      </c>
      <c r="O69" s="41">
        <f t="shared" ref="O69:O87" si="7">L69+N69</f>
        <v>12.957777777777777</v>
      </c>
      <c r="P69" s="155"/>
    </row>
    <row r="70" spans="3:17" ht="14.5" customHeight="1" x14ac:dyDescent="0.35">
      <c r="C70" s="145"/>
      <c r="D70" s="145"/>
      <c r="E70" s="145"/>
      <c r="F70" s="1" t="s">
        <v>204</v>
      </c>
      <c r="G70" s="98"/>
      <c r="H70" s="99">
        <v>300</v>
      </c>
      <c r="I70" s="78">
        <f>$D$68*$E$68*H70</f>
        <v>60000</v>
      </c>
      <c r="J70" s="78">
        <f>I70*K70/1000</f>
        <v>126000</v>
      </c>
      <c r="K70" s="81">
        <v>2100</v>
      </c>
      <c r="L70" s="57">
        <f>('CO2e Factors'!$F$7*'Emissions for Pavement Options'!I70)</f>
        <v>7.7060682060883421</v>
      </c>
      <c r="M70" s="100"/>
      <c r="N70" s="57">
        <f>('CO2e Factors'!$F$82*'Emissions for Pavement Options'!J70*'Emissions for Pavement Options'!M70)+('CO2e Factors'!$F$83*'Emissions for Pavement Options'!M70)</f>
        <v>0</v>
      </c>
      <c r="O70" s="41">
        <f t="shared" si="7"/>
        <v>7.7060682060883421</v>
      </c>
      <c r="P70" s="155"/>
    </row>
    <row r="71" spans="3:17" ht="14.5" customHeight="1" x14ac:dyDescent="0.35">
      <c r="C71" s="145"/>
      <c r="D71" s="145"/>
      <c r="E71" s="145"/>
      <c r="F71" s="1" t="s">
        <v>160</v>
      </c>
      <c r="G71" s="98"/>
      <c r="H71" s="99"/>
      <c r="I71" s="82"/>
      <c r="J71" s="78"/>
      <c r="K71" s="80"/>
      <c r="L71" s="57">
        <f>('CO2e Factors'!$F$8*'Emissions for Pavement Options'!J71)</f>
        <v>0</v>
      </c>
      <c r="M71" s="100"/>
      <c r="N71" s="57">
        <f>('CO2e Factors'!$F$82*'Emissions for Pavement Options'!J71*'Emissions for Pavement Options'!M71)+('CO2e Factors'!$F$83*'Emissions for Pavement Options'!M71)</f>
        <v>0</v>
      </c>
      <c r="O71" s="41">
        <f t="shared" si="7"/>
        <v>0</v>
      </c>
      <c r="P71" s="155"/>
    </row>
    <row r="72" spans="3:17" ht="14.5" customHeight="1" x14ac:dyDescent="0.35">
      <c r="C72" s="145"/>
      <c r="D72" s="145"/>
      <c r="E72" s="145"/>
      <c r="F72" s="1" t="s">
        <v>112</v>
      </c>
      <c r="G72" s="81" t="s">
        <v>118</v>
      </c>
      <c r="H72" s="99">
        <v>275</v>
      </c>
      <c r="I72" s="78">
        <f>$D$68*$E$68*H72</f>
        <v>55000</v>
      </c>
      <c r="J72" s="78">
        <f t="shared" ref="J72:J126" si="8">I72*K72/1000</f>
        <v>110000</v>
      </c>
      <c r="K72" s="81">
        <v>2000</v>
      </c>
      <c r="L72" s="58">
        <f>(IF(G72="",0,IFERROR(VLOOKUP(G72, 'CO2e Factors'!$C$10:$F$79, 4, FALSE) * I72, "")))</f>
        <v>19.4476119857434</v>
      </c>
      <c r="M72" s="101"/>
      <c r="N72" s="57">
        <f>('CO2e Factors'!$F$82*'Emissions for Pavement Options'!J72*'Emissions for Pavement Options'!M72)+('CO2e Factors'!$F$83*'Emissions for Pavement Options'!M72)</f>
        <v>0</v>
      </c>
      <c r="O72" s="41">
        <f t="shared" si="7"/>
        <v>19.4476119857434</v>
      </c>
      <c r="P72" s="155"/>
    </row>
    <row r="73" spans="3:17" ht="14.5" customHeight="1" x14ac:dyDescent="0.35">
      <c r="C73" s="145"/>
      <c r="D73" s="145"/>
      <c r="E73" s="145"/>
      <c r="F73" s="1" t="s">
        <v>111</v>
      </c>
      <c r="G73" s="81"/>
      <c r="H73" s="99">
        <v>0</v>
      </c>
      <c r="I73" s="78">
        <f t="shared" ref="I73:I81" si="9">$D$68*$E$68*H73</f>
        <v>0</v>
      </c>
      <c r="J73" s="78">
        <f t="shared" si="8"/>
        <v>0</v>
      </c>
      <c r="K73" s="81">
        <v>1800</v>
      </c>
      <c r="L73" s="58">
        <f>(IF(G73="",0,IFERROR(VLOOKUP(G73, 'CO2e Factors'!$C$10:$F$79, 4, FALSE) * I73, "")))</f>
        <v>0</v>
      </c>
      <c r="M73" s="101"/>
      <c r="N73" s="57">
        <f>('CO2e Factors'!$F$82*'Emissions for Pavement Options'!J73*'Emissions for Pavement Options'!M73)+('CO2e Factors'!$F$83*'Emissions for Pavement Options'!M73)</f>
        <v>0</v>
      </c>
      <c r="O73" s="41">
        <f t="shared" si="7"/>
        <v>0</v>
      </c>
      <c r="P73" s="155"/>
    </row>
    <row r="74" spans="3:17" ht="14.5" customHeight="1" x14ac:dyDescent="0.35">
      <c r="C74" s="145"/>
      <c r="D74" s="145"/>
      <c r="E74" s="145"/>
      <c r="F74" s="1" t="s">
        <v>100</v>
      </c>
      <c r="G74" s="81" t="s">
        <v>40</v>
      </c>
      <c r="H74" s="99">
        <v>150</v>
      </c>
      <c r="I74" s="78">
        <f t="shared" si="9"/>
        <v>30000</v>
      </c>
      <c r="J74" s="78">
        <f t="shared" si="8"/>
        <v>54000</v>
      </c>
      <c r="K74" s="81">
        <v>1800</v>
      </c>
      <c r="L74" s="58">
        <f>(IF(G74="",0,IFERROR(VLOOKUP(G74, 'CO2e Factors'!$C$10:$F$79, 4, FALSE) * I74, "")))</f>
        <v>1653.15</v>
      </c>
      <c r="M74" s="101"/>
      <c r="N74" s="57">
        <f>('CO2e Factors'!$F$82*'Emissions for Pavement Options'!J74*'Emissions for Pavement Options'!M74)+('CO2e Factors'!$F$83*'Emissions for Pavement Options'!M74)</f>
        <v>0</v>
      </c>
      <c r="O74" s="41">
        <f t="shared" si="7"/>
        <v>1653.15</v>
      </c>
      <c r="P74" s="155"/>
    </row>
    <row r="75" spans="3:17" ht="14.5" customHeight="1" x14ac:dyDescent="0.35">
      <c r="C75" s="145"/>
      <c r="D75" s="145"/>
      <c r="E75" s="145"/>
      <c r="F75" s="1" t="s">
        <v>101</v>
      </c>
      <c r="G75" s="81"/>
      <c r="H75" s="99"/>
      <c r="I75" s="78">
        <f t="shared" si="9"/>
        <v>0</v>
      </c>
      <c r="J75" s="78">
        <f t="shared" si="8"/>
        <v>0</v>
      </c>
      <c r="K75" s="81">
        <v>1800</v>
      </c>
      <c r="L75" s="58">
        <f>(IF(G75="",0,IFERROR(VLOOKUP(G75, 'CO2e Factors'!$C$10:$F$79, 4, FALSE) * I75, "")))</f>
        <v>0</v>
      </c>
      <c r="M75" s="101"/>
      <c r="N75" s="57">
        <f>('CO2e Factors'!$F$82*'Emissions for Pavement Options'!J75*'Emissions for Pavement Options'!M75)+('CO2e Factors'!$F$83*'Emissions for Pavement Options'!M75)</f>
        <v>0</v>
      </c>
      <c r="O75" s="41">
        <f t="shared" si="7"/>
        <v>0</v>
      </c>
      <c r="P75" s="155"/>
    </row>
    <row r="76" spans="3:17" ht="14.5" customHeight="1" x14ac:dyDescent="0.35">
      <c r="C76" s="145"/>
      <c r="D76" s="145"/>
      <c r="E76" s="145"/>
      <c r="F76" s="1" t="s">
        <v>103</v>
      </c>
      <c r="G76" s="81" t="s">
        <v>34</v>
      </c>
      <c r="H76" s="99">
        <v>150</v>
      </c>
      <c r="I76" s="78">
        <f t="shared" si="9"/>
        <v>30000</v>
      </c>
      <c r="J76" s="78">
        <f t="shared" si="8"/>
        <v>51000</v>
      </c>
      <c r="K76" s="81">
        <v>1700</v>
      </c>
      <c r="L76" s="58">
        <f>(IF(G76="",0,IFERROR(VLOOKUP(G76, 'CO2e Factors'!$C$10:$F$79, 4, FALSE) * I76, "")))</f>
        <v>236.52</v>
      </c>
      <c r="M76" s="101"/>
      <c r="N76" s="57">
        <f>('CO2e Factors'!$F$82*'Emissions for Pavement Options'!J76*'Emissions for Pavement Options'!M76)+('CO2e Factors'!$F$83*'Emissions for Pavement Options'!M76)</f>
        <v>0</v>
      </c>
      <c r="O76" s="41">
        <f t="shared" si="7"/>
        <v>236.52</v>
      </c>
      <c r="P76" s="155"/>
    </row>
    <row r="77" spans="3:17" ht="14.5" customHeight="1" x14ac:dyDescent="0.35">
      <c r="C77" s="145"/>
      <c r="D77" s="145"/>
      <c r="E77" s="145"/>
      <c r="F77" s="1" t="s">
        <v>102</v>
      </c>
      <c r="G77" s="81"/>
      <c r="H77" s="99"/>
      <c r="I77" s="78">
        <f t="shared" si="9"/>
        <v>0</v>
      </c>
      <c r="J77" s="78">
        <f t="shared" si="8"/>
        <v>0</v>
      </c>
      <c r="K77" s="81">
        <v>1700</v>
      </c>
      <c r="L77" s="58">
        <f>(IF(G77="",0,IFERROR(VLOOKUP(G77, 'CO2e Factors'!$C$10:$F$79, 4, FALSE) * I77, "")))</f>
        <v>0</v>
      </c>
      <c r="M77" s="101"/>
      <c r="N77" s="57">
        <f>('CO2e Factors'!$F$82*'Emissions for Pavement Options'!J77*'Emissions for Pavement Options'!M77)+('CO2e Factors'!$F$83*'Emissions for Pavement Options'!M77)</f>
        <v>0</v>
      </c>
      <c r="O77" s="41">
        <f t="shared" si="7"/>
        <v>0</v>
      </c>
      <c r="P77" s="155"/>
    </row>
    <row r="78" spans="3:17" ht="14.5" customHeight="1" x14ac:dyDescent="0.35">
      <c r="C78" s="145"/>
      <c r="D78" s="145"/>
      <c r="E78" s="145"/>
      <c r="F78" s="1" t="s">
        <v>104</v>
      </c>
      <c r="G78" s="81" t="s">
        <v>44</v>
      </c>
      <c r="H78" s="99">
        <v>60</v>
      </c>
      <c r="I78" s="78">
        <f t="shared" si="9"/>
        <v>12000</v>
      </c>
      <c r="J78" s="78">
        <f t="shared" si="8"/>
        <v>28800</v>
      </c>
      <c r="K78" s="81">
        <v>2400</v>
      </c>
      <c r="L78" s="58">
        <f>(IF(G78="",0,IFERROR(VLOOKUP(G78, 'CO2e Factors'!$C$10:$F$79, 4, FALSE) * I78, "")))</f>
        <v>1468.3199999999997</v>
      </c>
      <c r="M78" s="101"/>
      <c r="N78" s="57">
        <f>('CO2e Factors'!$F$82*'Emissions for Pavement Options'!J78*'Emissions for Pavement Options'!M78)+('CO2e Factors'!$F$83*'Emissions for Pavement Options'!M78)</f>
        <v>0</v>
      </c>
      <c r="O78" s="41">
        <f t="shared" si="7"/>
        <v>1468.3199999999997</v>
      </c>
      <c r="P78" s="155"/>
    </row>
    <row r="79" spans="3:17" ht="14.5" customHeight="1" x14ac:dyDescent="0.35">
      <c r="C79" s="145"/>
      <c r="D79" s="145"/>
      <c r="E79" s="145"/>
      <c r="F79" s="1" t="s">
        <v>105</v>
      </c>
      <c r="G79" s="81" t="s">
        <v>42</v>
      </c>
      <c r="H79" s="99">
        <v>40</v>
      </c>
      <c r="I79" s="78">
        <f t="shared" si="9"/>
        <v>8000</v>
      </c>
      <c r="J79" s="78">
        <f t="shared" si="8"/>
        <v>19200</v>
      </c>
      <c r="K79" s="81">
        <v>2400</v>
      </c>
      <c r="L79" s="58">
        <f>(IF(G79="",0,IFERROR(VLOOKUP(G79, 'CO2e Factors'!$C$10:$F$79, 4, FALSE) * I79, "")))</f>
        <v>997.28</v>
      </c>
      <c r="M79" s="101"/>
      <c r="N79" s="57">
        <f>('CO2e Factors'!$F$82*'Emissions for Pavement Options'!J79*'Emissions for Pavement Options'!M79)+('CO2e Factors'!$F$83*'Emissions for Pavement Options'!M79)</f>
        <v>0</v>
      </c>
      <c r="O79" s="41">
        <f t="shared" si="7"/>
        <v>997.28</v>
      </c>
      <c r="P79" s="155"/>
      <c r="Q79" t="s">
        <v>252</v>
      </c>
    </row>
    <row r="80" spans="3:17" ht="14.5" customHeight="1" x14ac:dyDescent="0.35">
      <c r="C80" s="145"/>
      <c r="D80" s="145"/>
      <c r="E80" s="145"/>
      <c r="F80" s="1" t="s">
        <v>106</v>
      </c>
      <c r="G80" s="81" t="s">
        <v>146</v>
      </c>
      <c r="H80" s="99">
        <v>10</v>
      </c>
      <c r="I80" s="78">
        <f>$D$68*$E$68*1000</f>
        <v>200000</v>
      </c>
      <c r="J80" s="78">
        <f>I80*K80*(H80/1000)/1000</f>
        <v>3600</v>
      </c>
      <c r="K80" s="81">
        <v>1800</v>
      </c>
      <c r="L80" s="58">
        <f>(IF(G80="",0,IFERROR(VLOOKUP(G80, 'CO2e Factors'!$C$10:$F$79, 4, FALSE) * I80, "")))</f>
        <v>66.702474999999993</v>
      </c>
      <c r="M80" s="101"/>
      <c r="N80" s="57">
        <f>('CO2e Factors'!$F$82*'Emissions for Pavement Options'!J80*'Emissions for Pavement Options'!M80)+('CO2e Factors'!$F$83*'Emissions for Pavement Options'!M80)</f>
        <v>0</v>
      </c>
      <c r="O80" s="41">
        <f t="shared" si="7"/>
        <v>66.702474999999993</v>
      </c>
      <c r="P80" s="155"/>
    </row>
    <row r="81" spans="3:16" ht="14.5" customHeight="1" x14ac:dyDescent="0.35">
      <c r="C81" s="145"/>
      <c r="D81" s="145"/>
      <c r="E81" s="145"/>
      <c r="F81" s="1" t="s">
        <v>184</v>
      </c>
      <c r="G81" s="81"/>
      <c r="H81" s="99"/>
      <c r="I81" s="78">
        <f t="shared" si="9"/>
        <v>0</v>
      </c>
      <c r="J81" s="78">
        <f>I81*K81/1000</f>
        <v>0</v>
      </c>
      <c r="K81" s="81">
        <v>2400</v>
      </c>
      <c r="L81" s="58">
        <f>(IF(G81="",0,IFERROR(VLOOKUP(G81, 'CO2e Factors'!$C$10:$F$79, 4, FALSE) * I81, "")))</f>
        <v>0</v>
      </c>
      <c r="M81" s="101"/>
      <c r="N81" s="57">
        <f>('CO2e Factors'!$F$82*'Emissions for Pavement Options'!J81*'Emissions for Pavement Options'!M81)+('CO2e Factors'!$F$83*'Emissions for Pavement Options'!M81)</f>
        <v>0</v>
      </c>
      <c r="O81" s="41">
        <f t="shared" si="7"/>
        <v>0</v>
      </c>
      <c r="P81" s="155"/>
    </row>
    <row r="82" spans="3:16" ht="14.5" customHeight="1" x14ac:dyDescent="0.35">
      <c r="C82" s="145"/>
      <c r="D82" s="145"/>
      <c r="E82" s="145"/>
      <c r="F82" s="1" t="s">
        <v>185</v>
      </c>
      <c r="G82" s="81" t="s">
        <v>146</v>
      </c>
      <c r="H82" s="99">
        <v>10</v>
      </c>
      <c r="I82" s="78">
        <f>$D$68*$E$68*1000</f>
        <v>200000</v>
      </c>
      <c r="J82" s="78">
        <f>I82*K82*(H82/1000)/1000</f>
        <v>3600</v>
      </c>
      <c r="K82" s="81">
        <v>1800</v>
      </c>
      <c r="L82" s="58">
        <f>(IF(G82="",0,IFERROR(VLOOKUP(G82, 'CO2e Factors'!$C$10:$F$79, 4, FALSE) * I82, "")))</f>
        <v>66.702474999999993</v>
      </c>
      <c r="M82" s="101"/>
      <c r="N82" s="57">
        <f>('CO2e Factors'!$F$82*'Emissions for Pavement Options'!J82*'Emissions for Pavement Options'!M82)+('CO2e Factors'!$F$83*'Emissions for Pavement Options'!M82)</f>
        <v>0</v>
      </c>
      <c r="O82" s="41">
        <f t="shared" si="7"/>
        <v>66.702474999999993</v>
      </c>
      <c r="P82" s="155"/>
    </row>
    <row r="83" spans="3:16" ht="14.5" customHeight="1" x14ac:dyDescent="0.35">
      <c r="C83" s="145"/>
      <c r="D83" s="145"/>
      <c r="E83" s="145"/>
      <c r="F83" s="1" t="s">
        <v>188</v>
      </c>
      <c r="G83" s="81"/>
      <c r="H83" s="99">
        <v>1</v>
      </c>
      <c r="I83" s="78">
        <f>$D$68*$E$68</f>
        <v>200</v>
      </c>
      <c r="J83" s="78">
        <f t="shared" si="8"/>
        <v>200</v>
      </c>
      <c r="K83" s="81">
        <v>1000</v>
      </c>
      <c r="L83" s="58">
        <f>(IF(G83="",0,IFERROR(VLOOKUP(G83, 'CO2e Factors'!$C$10:$F$79, 4, FALSE) * I83, "")))*1000</f>
        <v>0</v>
      </c>
      <c r="M83" s="101"/>
      <c r="N83" s="57">
        <f>('CO2e Factors'!$F$82*'Emissions for Pavement Options'!J83*'Emissions for Pavement Options'!M83)+('CO2e Factors'!$F$83*'Emissions for Pavement Options'!M83)</f>
        <v>0</v>
      </c>
      <c r="O83" s="41">
        <f t="shared" si="7"/>
        <v>0</v>
      </c>
      <c r="P83" s="155"/>
    </row>
    <row r="84" spans="3:16" ht="14.5" customHeight="1" x14ac:dyDescent="0.35">
      <c r="C84" s="145"/>
      <c r="D84" s="145"/>
      <c r="E84" s="145"/>
      <c r="F84" s="1" t="s">
        <v>189</v>
      </c>
      <c r="G84" s="81"/>
      <c r="H84" s="99">
        <v>1</v>
      </c>
      <c r="I84" s="78">
        <f>$D$68*$E$68</f>
        <v>200</v>
      </c>
      <c r="J84" s="78">
        <f t="shared" si="8"/>
        <v>200</v>
      </c>
      <c r="K84" s="81">
        <v>1000</v>
      </c>
      <c r="L84" s="58">
        <f>(IF(G84="",0,IFERROR(VLOOKUP(G84, 'CO2e Factors'!$C$10:$F$79, 4, FALSE) * I84, "")))*1000</f>
        <v>0</v>
      </c>
      <c r="M84" s="101"/>
      <c r="N84" s="57">
        <f>('CO2e Factors'!$F$82*'Emissions for Pavement Options'!J84*'Emissions for Pavement Options'!M84)+('CO2e Factors'!$F$83*'Emissions for Pavement Options'!M84)</f>
        <v>0</v>
      </c>
      <c r="O84" s="41">
        <f t="shared" si="7"/>
        <v>0</v>
      </c>
      <c r="P84" s="155"/>
    </row>
    <row r="85" spans="3:16" ht="14.5" customHeight="1" x14ac:dyDescent="0.35">
      <c r="C85" s="145"/>
      <c r="D85" s="145"/>
      <c r="E85" s="145"/>
      <c r="F85" s="1" t="s">
        <v>195</v>
      </c>
      <c r="G85" s="81"/>
      <c r="H85" s="99">
        <v>1</v>
      </c>
      <c r="I85" s="78">
        <f>$D$68*$E$68</f>
        <v>200</v>
      </c>
      <c r="J85" s="78">
        <f t="shared" si="8"/>
        <v>200</v>
      </c>
      <c r="K85" s="81">
        <v>1000</v>
      </c>
      <c r="L85" s="58">
        <f>(IF(G85="",0,IFERROR(VLOOKUP(G85, 'CO2e Factors'!$C$10:$F$79, 4, FALSE) * I85, "")))*1000</f>
        <v>0</v>
      </c>
      <c r="M85" s="101"/>
      <c r="N85" s="57">
        <f>('CO2e Factors'!$F$82*'Emissions for Pavement Options'!J85*'Emissions for Pavement Options'!M85)+('CO2e Factors'!$F$83*'Emissions for Pavement Options'!M85)</f>
        <v>0</v>
      </c>
      <c r="O85" s="41">
        <f t="shared" si="7"/>
        <v>0</v>
      </c>
      <c r="P85" s="155"/>
    </row>
    <row r="86" spans="3:16" ht="14.5" customHeight="1" x14ac:dyDescent="0.35">
      <c r="C86" s="145"/>
      <c r="D86" s="145"/>
      <c r="E86" s="145"/>
      <c r="F86" s="1" t="s">
        <v>186</v>
      </c>
      <c r="G86" s="81"/>
      <c r="H86" s="99"/>
      <c r="I86" s="78">
        <f>$D$68*$E$68*H86</f>
        <v>0</v>
      </c>
      <c r="J86" s="78">
        <f t="shared" si="8"/>
        <v>0</v>
      </c>
      <c r="K86" s="81">
        <v>2400</v>
      </c>
      <c r="L86" s="58">
        <f>(IF(G86="",0,IFERROR(VLOOKUP(G86, 'CO2e Factors'!$C$10:$F$79, 4, FALSE) * I86, "")))</f>
        <v>0</v>
      </c>
      <c r="M86" s="101"/>
      <c r="N86" s="57">
        <f>('CO2e Factors'!$F$82*'Emissions for Pavement Options'!J86*'Emissions for Pavement Options'!M86)+('CO2e Factors'!$F$83*'Emissions for Pavement Options'!M86)</f>
        <v>0</v>
      </c>
      <c r="O86" s="41">
        <f t="shared" si="7"/>
        <v>0</v>
      </c>
      <c r="P86" s="155"/>
    </row>
    <row r="87" spans="3:16" ht="14.5" customHeight="1" x14ac:dyDescent="0.35">
      <c r="C87" s="146"/>
      <c r="D87" s="146"/>
      <c r="E87" s="146"/>
      <c r="F87" s="1" t="s">
        <v>187</v>
      </c>
      <c r="G87" s="81"/>
      <c r="H87" s="99"/>
      <c r="I87" s="78"/>
      <c r="J87" s="78"/>
      <c r="K87" s="81">
        <v>7750</v>
      </c>
      <c r="L87" s="58">
        <f>(IF(G87="",0,IFERROR(VLOOKUP(G87, 'CO2e Factors'!$C$10:$F$79, 4, FALSE) * J87, "")))</f>
        <v>0</v>
      </c>
      <c r="M87" s="101"/>
      <c r="N87" s="57">
        <f>('CO2e Factors'!$F$82*'Emissions for Pavement Options'!J87*'Emissions for Pavement Options'!M87)+('CO2e Factors'!$F$83*'Emissions for Pavement Options'!M87)</f>
        <v>0</v>
      </c>
      <c r="O87" s="41">
        <f t="shared" si="7"/>
        <v>0</v>
      </c>
      <c r="P87" s="156"/>
    </row>
    <row r="88" spans="3:16" ht="14.5" customHeight="1" x14ac:dyDescent="0.35">
      <c r="C88" s="144">
        <v>2</v>
      </c>
      <c r="D88" s="144">
        <v>30</v>
      </c>
      <c r="E88" s="144">
        <v>10</v>
      </c>
      <c r="F88" s="1" t="s">
        <v>159</v>
      </c>
      <c r="G88" s="98"/>
      <c r="H88" s="99"/>
      <c r="I88" s="78"/>
      <c r="J88" s="79"/>
      <c r="K88" s="80"/>
      <c r="L88" s="57">
        <f>('CO2e Factors'!$F$5*'Emissions for Pavement Options'!I88)</f>
        <v>0</v>
      </c>
      <c r="M88" s="100"/>
      <c r="N88" s="57">
        <f>('CO2e Factors'!$F$82*'Emissions for Pavement Options'!J88*'Emissions for Pavement Options'!M88)+('CO2e Factors'!$F$83*'Emissions for Pavement Options'!M88)</f>
        <v>0</v>
      </c>
      <c r="O88" s="41">
        <f>L88+N88</f>
        <v>0</v>
      </c>
      <c r="P88" s="154">
        <f>SUM(O88:O107)</f>
        <v>6785.2237706875185</v>
      </c>
    </row>
    <row r="89" spans="3:16" ht="14.5" customHeight="1" x14ac:dyDescent="0.35">
      <c r="C89" s="145"/>
      <c r="D89" s="145"/>
      <c r="E89" s="145"/>
      <c r="F89" s="1" t="s">
        <v>68</v>
      </c>
      <c r="G89" s="98"/>
      <c r="H89" s="99">
        <v>200</v>
      </c>
      <c r="I89" s="78">
        <f>$D$88*$E$88*H89</f>
        <v>60000</v>
      </c>
      <c r="J89" s="79"/>
      <c r="K89" s="81">
        <v>2100</v>
      </c>
      <c r="L89" s="57">
        <f>('CO2e Factors'!$F$6*'Emissions for Pavement Options'!I89)</f>
        <v>19.436666666666664</v>
      </c>
      <c r="M89" s="100"/>
      <c r="N89" s="57">
        <f>('CO2e Factors'!$F$82*'Emissions for Pavement Options'!J89*'Emissions for Pavement Options'!M89)+('CO2e Factors'!$F$83*'Emissions for Pavement Options'!M89)</f>
        <v>0</v>
      </c>
      <c r="O89" s="41">
        <f t="shared" ref="O89:O107" si="10">L89+N89</f>
        <v>19.436666666666664</v>
      </c>
      <c r="P89" s="155"/>
    </row>
    <row r="90" spans="3:16" ht="14.5" customHeight="1" x14ac:dyDescent="0.35">
      <c r="C90" s="145"/>
      <c r="D90" s="145"/>
      <c r="E90" s="145"/>
      <c r="F90" s="1" t="s">
        <v>204</v>
      </c>
      <c r="G90" s="98"/>
      <c r="H90" s="99">
        <v>300</v>
      </c>
      <c r="I90" s="78">
        <f>$D$88*$E$88*H90</f>
        <v>90000</v>
      </c>
      <c r="J90" s="78">
        <f>I90*K90/1000</f>
        <v>189000</v>
      </c>
      <c r="K90" s="81">
        <v>2100</v>
      </c>
      <c r="L90" s="57">
        <f>('CO2e Factors'!$F$7*'Emissions for Pavement Options'!I90)</f>
        <v>11.559102309132513</v>
      </c>
      <c r="M90" s="100"/>
      <c r="N90" s="57">
        <f>('CO2e Factors'!$F$82*'Emissions for Pavement Options'!J90*'Emissions for Pavement Options'!M90)+('CO2e Factors'!$F$83*'Emissions for Pavement Options'!M90)</f>
        <v>0</v>
      </c>
      <c r="O90" s="41">
        <f t="shared" si="10"/>
        <v>11.559102309132513</v>
      </c>
      <c r="P90" s="155"/>
    </row>
    <row r="91" spans="3:16" ht="14.5" customHeight="1" x14ac:dyDescent="0.35">
      <c r="C91" s="145"/>
      <c r="D91" s="145"/>
      <c r="E91" s="145"/>
      <c r="F91" s="1" t="s">
        <v>160</v>
      </c>
      <c r="G91" s="98"/>
      <c r="H91" s="99"/>
      <c r="I91" s="82"/>
      <c r="J91" s="78"/>
      <c r="K91" s="80"/>
      <c r="L91" s="57">
        <f>('CO2e Factors'!$F$8*'Emissions for Pavement Options'!J91)</f>
        <v>0</v>
      </c>
      <c r="M91" s="100"/>
      <c r="N91" s="57">
        <f>('CO2e Factors'!$F$82*'Emissions for Pavement Options'!J91*'Emissions for Pavement Options'!M91)+('CO2e Factors'!$F$83*'Emissions for Pavement Options'!M91)</f>
        <v>0</v>
      </c>
      <c r="O91" s="41">
        <f t="shared" si="10"/>
        <v>0</v>
      </c>
      <c r="P91" s="155"/>
    </row>
    <row r="92" spans="3:16" ht="14.5" customHeight="1" x14ac:dyDescent="0.35">
      <c r="C92" s="145"/>
      <c r="D92" s="145"/>
      <c r="E92" s="145"/>
      <c r="F92" s="1" t="s">
        <v>112</v>
      </c>
      <c r="G92" s="81" t="s">
        <v>118</v>
      </c>
      <c r="H92" s="99">
        <v>200</v>
      </c>
      <c r="I92" s="78">
        <f>$D$88*$E$88*H92</f>
        <v>60000</v>
      </c>
      <c r="J92" s="78">
        <f t="shared" si="8"/>
        <v>120000</v>
      </c>
      <c r="K92" s="81">
        <v>2000</v>
      </c>
      <c r="L92" s="58">
        <f>(IF(G92="",0,IFERROR(VLOOKUP(G92, 'CO2e Factors'!$C$10:$F$79, 4, FALSE) * I92, "")))</f>
        <v>21.215576711720072</v>
      </c>
      <c r="M92" s="101"/>
      <c r="N92" s="57">
        <f>('CO2e Factors'!$F$82*'Emissions for Pavement Options'!J92*'Emissions for Pavement Options'!M92)+('CO2e Factors'!$F$83*'Emissions for Pavement Options'!M92)</f>
        <v>0</v>
      </c>
      <c r="O92" s="41">
        <f t="shared" si="10"/>
        <v>21.215576711720072</v>
      </c>
      <c r="P92" s="155"/>
    </row>
    <row r="93" spans="3:16" ht="14.5" customHeight="1" x14ac:dyDescent="0.35">
      <c r="C93" s="145"/>
      <c r="D93" s="145"/>
      <c r="E93" s="145"/>
      <c r="F93" s="1" t="s">
        <v>111</v>
      </c>
      <c r="G93" s="81"/>
      <c r="H93" s="99">
        <v>0</v>
      </c>
      <c r="I93" s="78">
        <f t="shared" ref="I93:I101" si="11">$D$88*$E$88*H93</f>
        <v>0</v>
      </c>
      <c r="J93" s="78">
        <f t="shared" si="8"/>
        <v>0</v>
      </c>
      <c r="K93" s="81">
        <v>1800</v>
      </c>
      <c r="L93" s="58">
        <f>(IF(G93="",0,IFERROR(VLOOKUP(G93, 'CO2e Factors'!$C$10:$F$79, 4, FALSE) * I93, "")))</f>
        <v>0</v>
      </c>
      <c r="M93" s="101"/>
      <c r="N93" s="57">
        <f>('CO2e Factors'!$F$82*'Emissions for Pavement Options'!J93*'Emissions for Pavement Options'!M93)+('CO2e Factors'!$F$83*'Emissions for Pavement Options'!M93)</f>
        <v>0</v>
      </c>
      <c r="O93" s="41">
        <f t="shared" si="10"/>
        <v>0</v>
      </c>
      <c r="P93" s="155"/>
    </row>
    <row r="94" spans="3:16" ht="14.5" customHeight="1" x14ac:dyDescent="0.35">
      <c r="C94" s="145"/>
      <c r="D94" s="145"/>
      <c r="E94" s="145"/>
      <c r="F94" s="1" t="s">
        <v>100</v>
      </c>
      <c r="G94" s="81" t="s">
        <v>40</v>
      </c>
      <c r="H94" s="99">
        <v>150</v>
      </c>
      <c r="I94" s="78">
        <f t="shared" si="11"/>
        <v>45000</v>
      </c>
      <c r="J94" s="78">
        <f t="shared" si="8"/>
        <v>81000</v>
      </c>
      <c r="K94" s="81">
        <v>1800</v>
      </c>
      <c r="L94" s="58">
        <f>(IF(G94="",0,IFERROR(VLOOKUP(G94, 'CO2e Factors'!$C$10:$F$79, 4, FALSE) * I94, "")))</f>
        <v>2479.7249999999999</v>
      </c>
      <c r="M94" s="101"/>
      <c r="N94" s="57">
        <f>('CO2e Factors'!$F$82*'Emissions for Pavement Options'!J94*'Emissions for Pavement Options'!M94)+('CO2e Factors'!$F$83*'Emissions for Pavement Options'!M94)</f>
        <v>0</v>
      </c>
      <c r="O94" s="41">
        <f t="shared" si="10"/>
        <v>2479.7249999999999</v>
      </c>
      <c r="P94" s="155"/>
    </row>
    <row r="95" spans="3:16" ht="14.5" customHeight="1" x14ac:dyDescent="0.35">
      <c r="C95" s="145"/>
      <c r="D95" s="145"/>
      <c r="E95" s="145"/>
      <c r="F95" s="1" t="s">
        <v>101</v>
      </c>
      <c r="G95" s="81"/>
      <c r="H95" s="99"/>
      <c r="I95" s="78">
        <f t="shared" si="11"/>
        <v>0</v>
      </c>
      <c r="J95" s="78">
        <f t="shared" si="8"/>
        <v>0</v>
      </c>
      <c r="K95" s="81">
        <v>1800</v>
      </c>
      <c r="L95" s="58">
        <f>(IF(G95="",0,IFERROR(VLOOKUP(G95, 'CO2e Factors'!$C$10:$F$79, 4, FALSE) * I95, "")))</f>
        <v>0</v>
      </c>
      <c r="M95" s="101"/>
      <c r="N95" s="57">
        <f>('CO2e Factors'!$F$82*'Emissions for Pavement Options'!J95*'Emissions for Pavement Options'!M95)+('CO2e Factors'!$F$83*'Emissions for Pavement Options'!M95)</f>
        <v>0</v>
      </c>
      <c r="O95" s="41">
        <f t="shared" si="10"/>
        <v>0</v>
      </c>
      <c r="P95" s="155"/>
    </row>
    <row r="96" spans="3:16" ht="14.5" customHeight="1" x14ac:dyDescent="0.35">
      <c r="C96" s="145"/>
      <c r="D96" s="145"/>
      <c r="E96" s="145"/>
      <c r="F96" s="1" t="s">
        <v>103</v>
      </c>
      <c r="G96" s="81" t="s">
        <v>34</v>
      </c>
      <c r="H96" s="99">
        <v>150</v>
      </c>
      <c r="I96" s="78">
        <f t="shared" si="11"/>
        <v>45000</v>
      </c>
      <c r="J96" s="78">
        <f t="shared" si="8"/>
        <v>76500</v>
      </c>
      <c r="K96" s="81">
        <v>1700</v>
      </c>
      <c r="L96" s="58">
        <f>(IF(G96="",0,IFERROR(VLOOKUP(G96, 'CO2e Factors'!$C$10:$F$79, 4, FALSE) * I96, "")))</f>
        <v>354.78000000000003</v>
      </c>
      <c r="M96" s="101"/>
      <c r="N96" s="57">
        <f>('CO2e Factors'!$F$82*'Emissions for Pavement Options'!J96*'Emissions for Pavement Options'!M96)+('CO2e Factors'!$F$83*'Emissions for Pavement Options'!M96)</f>
        <v>0</v>
      </c>
      <c r="O96" s="41">
        <f t="shared" si="10"/>
        <v>354.78000000000003</v>
      </c>
      <c r="P96" s="155"/>
    </row>
    <row r="97" spans="3:17" ht="14.5" customHeight="1" x14ac:dyDescent="0.35">
      <c r="C97" s="145"/>
      <c r="D97" s="145"/>
      <c r="E97" s="145"/>
      <c r="F97" s="1" t="s">
        <v>102</v>
      </c>
      <c r="G97" s="81"/>
      <c r="H97" s="99"/>
      <c r="I97" s="78">
        <f t="shared" si="11"/>
        <v>0</v>
      </c>
      <c r="J97" s="78">
        <f t="shared" si="8"/>
        <v>0</v>
      </c>
      <c r="K97" s="81">
        <v>1700</v>
      </c>
      <c r="L97" s="58">
        <f>(IF(G97="",0,IFERROR(VLOOKUP(G97, 'CO2e Factors'!$C$10:$F$79, 4, FALSE) * I97, "")))</f>
        <v>0</v>
      </c>
      <c r="M97" s="101"/>
      <c r="N97" s="57">
        <f>('CO2e Factors'!$F$82*'Emissions for Pavement Options'!J97*'Emissions for Pavement Options'!M97)+('CO2e Factors'!$F$83*'Emissions for Pavement Options'!M97)</f>
        <v>0</v>
      </c>
      <c r="O97" s="41">
        <f t="shared" si="10"/>
        <v>0</v>
      </c>
      <c r="P97" s="155"/>
    </row>
    <row r="98" spans="3:17" ht="14.5" customHeight="1" x14ac:dyDescent="0.35">
      <c r="C98" s="145"/>
      <c r="D98" s="145"/>
      <c r="E98" s="145"/>
      <c r="F98" s="1" t="s">
        <v>104</v>
      </c>
      <c r="G98" s="81" t="s">
        <v>44</v>
      </c>
      <c r="H98" s="99">
        <v>60</v>
      </c>
      <c r="I98" s="78">
        <f t="shared" si="11"/>
        <v>18000</v>
      </c>
      <c r="J98" s="78">
        <f t="shared" si="8"/>
        <v>43200</v>
      </c>
      <c r="K98" s="81">
        <v>2400</v>
      </c>
      <c r="L98" s="58">
        <f>(IF(G98="",0,IFERROR(VLOOKUP(G98, 'CO2e Factors'!$C$10:$F$79, 4, FALSE) * I98, "")))</f>
        <v>2202.4799999999996</v>
      </c>
      <c r="M98" s="101"/>
      <c r="N98" s="57">
        <f>('CO2e Factors'!$F$82*'Emissions for Pavement Options'!J98*'Emissions for Pavement Options'!M98)+('CO2e Factors'!$F$83*'Emissions for Pavement Options'!M98)</f>
        <v>0</v>
      </c>
      <c r="O98" s="41">
        <f t="shared" si="10"/>
        <v>2202.4799999999996</v>
      </c>
      <c r="P98" s="155"/>
    </row>
    <row r="99" spans="3:17" ht="14.5" customHeight="1" x14ac:dyDescent="0.35">
      <c r="C99" s="145"/>
      <c r="D99" s="145"/>
      <c r="E99" s="145"/>
      <c r="F99" s="1" t="s">
        <v>105</v>
      </c>
      <c r="G99" s="81" t="s">
        <v>42</v>
      </c>
      <c r="H99" s="99">
        <v>40</v>
      </c>
      <c r="I99" s="78">
        <f t="shared" si="11"/>
        <v>12000</v>
      </c>
      <c r="J99" s="78">
        <f t="shared" si="8"/>
        <v>28800</v>
      </c>
      <c r="K99" s="81">
        <v>2400</v>
      </c>
      <c r="L99" s="58">
        <f>(IF(G99="",0,IFERROR(VLOOKUP(G99, 'CO2e Factors'!$C$10:$F$79, 4, FALSE) * I99, "")))</f>
        <v>1495.9199999999998</v>
      </c>
      <c r="M99" s="101"/>
      <c r="N99" s="57">
        <f>('CO2e Factors'!$F$82*'Emissions for Pavement Options'!J99*'Emissions for Pavement Options'!M99)+('CO2e Factors'!$F$83*'Emissions for Pavement Options'!M99)</f>
        <v>0</v>
      </c>
      <c r="O99" s="41">
        <f t="shared" si="10"/>
        <v>1495.9199999999998</v>
      </c>
      <c r="P99" s="155"/>
      <c r="Q99" t="s">
        <v>252</v>
      </c>
    </row>
    <row r="100" spans="3:17" ht="14.5" customHeight="1" x14ac:dyDescent="0.35">
      <c r="C100" s="145"/>
      <c r="D100" s="145"/>
      <c r="E100" s="145"/>
      <c r="F100" s="1" t="s">
        <v>106</v>
      </c>
      <c r="G100" s="81" t="s">
        <v>146</v>
      </c>
      <c r="H100" s="99">
        <v>10</v>
      </c>
      <c r="I100" s="78">
        <f>$D$88*$E$88*1000</f>
        <v>300000</v>
      </c>
      <c r="J100" s="78">
        <f>I100*K100*(H100/1000)/1000</f>
        <v>5400</v>
      </c>
      <c r="K100" s="81">
        <v>1800</v>
      </c>
      <c r="L100" s="58">
        <f>(IF(G100="",0,IFERROR(VLOOKUP(G100, 'CO2e Factors'!$C$10:$F$79, 4, FALSE) * I100, "")))</f>
        <v>100.05371249999999</v>
      </c>
      <c r="M100" s="101"/>
      <c r="N100" s="57">
        <f>('CO2e Factors'!$F$82*'Emissions for Pavement Options'!J100*'Emissions for Pavement Options'!M100)+('CO2e Factors'!$F$83*'Emissions for Pavement Options'!M100)</f>
        <v>0</v>
      </c>
      <c r="O100" s="41">
        <f t="shared" si="10"/>
        <v>100.05371249999999</v>
      </c>
      <c r="P100" s="155"/>
    </row>
    <row r="101" spans="3:17" ht="14.5" customHeight="1" x14ac:dyDescent="0.35">
      <c r="C101" s="145"/>
      <c r="D101" s="145"/>
      <c r="E101" s="145"/>
      <c r="F101" s="1" t="s">
        <v>184</v>
      </c>
      <c r="G101" s="81"/>
      <c r="H101" s="99"/>
      <c r="I101" s="78">
        <f t="shared" si="11"/>
        <v>0</v>
      </c>
      <c r="J101" s="78">
        <f>I101*K101/1000</f>
        <v>0</v>
      </c>
      <c r="K101" s="81">
        <v>2400</v>
      </c>
      <c r="L101" s="58">
        <f>(IF(G101="",0,IFERROR(VLOOKUP(G101, 'CO2e Factors'!$C$10:$F$79, 4, FALSE) * I101, "")))</f>
        <v>0</v>
      </c>
      <c r="M101" s="101"/>
      <c r="N101" s="57">
        <f>('CO2e Factors'!$F$82*'Emissions for Pavement Options'!J101*'Emissions for Pavement Options'!M101)+('CO2e Factors'!$F$83*'Emissions for Pavement Options'!M101)</f>
        <v>0</v>
      </c>
      <c r="O101" s="41">
        <f t="shared" si="10"/>
        <v>0</v>
      </c>
      <c r="P101" s="155"/>
    </row>
    <row r="102" spans="3:17" ht="14.5" customHeight="1" x14ac:dyDescent="0.35">
      <c r="C102" s="145"/>
      <c r="D102" s="145"/>
      <c r="E102" s="145"/>
      <c r="F102" s="1" t="s">
        <v>185</v>
      </c>
      <c r="G102" s="81" t="s">
        <v>146</v>
      </c>
      <c r="H102" s="99">
        <v>10</v>
      </c>
      <c r="I102" s="78">
        <f>$D$88*$E$88*1000</f>
        <v>300000</v>
      </c>
      <c r="J102" s="78">
        <f>I102*K102*(H102/1000)/1000</f>
        <v>5400</v>
      </c>
      <c r="K102" s="81">
        <v>1800</v>
      </c>
      <c r="L102" s="58">
        <f>(IF(G102="",0,IFERROR(VLOOKUP(G102, 'CO2e Factors'!$C$10:$F$79, 4, FALSE) * I102, "")))</f>
        <v>100.05371249999999</v>
      </c>
      <c r="M102" s="101"/>
      <c r="N102" s="57">
        <f>('CO2e Factors'!$F$82*'Emissions for Pavement Options'!J102*'Emissions for Pavement Options'!M102)+('CO2e Factors'!$F$83*'Emissions for Pavement Options'!M102)</f>
        <v>0</v>
      </c>
      <c r="O102" s="41">
        <f t="shared" si="10"/>
        <v>100.05371249999999</v>
      </c>
      <c r="P102" s="155"/>
    </row>
    <row r="103" spans="3:17" ht="14.5" customHeight="1" x14ac:dyDescent="0.35">
      <c r="C103" s="145"/>
      <c r="D103" s="145"/>
      <c r="E103" s="145"/>
      <c r="F103" s="1" t="s">
        <v>188</v>
      </c>
      <c r="G103" s="81"/>
      <c r="H103" s="99">
        <v>1</v>
      </c>
      <c r="I103" s="78">
        <f>$D$88*$E$88</f>
        <v>300</v>
      </c>
      <c r="J103" s="78">
        <f t="shared" si="8"/>
        <v>300</v>
      </c>
      <c r="K103" s="81">
        <v>1000</v>
      </c>
      <c r="L103" s="58">
        <f>(IF(G103="",0,IFERROR(VLOOKUP(G103, 'CO2e Factors'!$C$10:$F$79, 4, FALSE) * I103, "")))*1000</f>
        <v>0</v>
      </c>
      <c r="M103" s="101"/>
      <c r="N103" s="57">
        <f>('CO2e Factors'!$F$82*'Emissions for Pavement Options'!J103*'Emissions for Pavement Options'!M103)+('CO2e Factors'!$F$83*'Emissions for Pavement Options'!M103)</f>
        <v>0</v>
      </c>
      <c r="O103" s="41">
        <f t="shared" si="10"/>
        <v>0</v>
      </c>
      <c r="P103" s="155"/>
    </row>
    <row r="104" spans="3:17" ht="14.5" customHeight="1" x14ac:dyDescent="0.35">
      <c r="C104" s="145"/>
      <c r="D104" s="145"/>
      <c r="E104" s="145"/>
      <c r="F104" s="1" t="s">
        <v>189</v>
      </c>
      <c r="G104" s="81"/>
      <c r="H104" s="99">
        <v>1</v>
      </c>
      <c r="I104" s="78">
        <f>$D$88*$E$88</f>
        <v>300</v>
      </c>
      <c r="J104" s="78">
        <f t="shared" si="8"/>
        <v>300</v>
      </c>
      <c r="K104" s="81">
        <v>1000</v>
      </c>
      <c r="L104" s="58">
        <f>(IF(G104="",0,IFERROR(VLOOKUP(G104, 'CO2e Factors'!$C$10:$F$79, 4, FALSE) * I104, "")))*1000</f>
        <v>0</v>
      </c>
      <c r="M104" s="101"/>
      <c r="N104" s="57">
        <f>('CO2e Factors'!$F$82*'Emissions for Pavement Options'!J104*'Emissions for Pavement Options'!M104)+('CO2e Factors'!$F$83*'Emissions for Pavement Options'!M104)</f>
        <v>0</v>
      </c>
      <c r="O104" s="41">
        <f t="shared" si="10"/>
        <v>0</v>
      </c>
      <c r="P104" s="155"/>
    </row>
    <row r="105" spans="3:17" ht="14.5" customHeight="1" x14ac:dyDescent="0.35">
      <c r="C105" s="145"/>
      <c r="D105" s="145"/>
      <c r="E105" s="145"/>
      <c r="F105" s="1" t="s">
        <v>195</v>
      </c>
      <c r="G105" s="81"/>
      <c r="H105" s="99">
        <v>1</v>
      </c>
      <c r="I105" s="78">
        <f>$D$88*$E$88</f>
        <v>300</v>
      </c>
      <c r="J105" s="78">
        <f t="shared" si="8"/>
        <v>300</v>
      </c>
      <c r="K105" s="81">
        <v>1000</v>
      </c>
      <c r="L105" s="58">
        <f>(IF(G105="",0,IFERROR(VLOOKUP(G105, 'CO2e Factors'!$C$10:$F$79, 4, FALSE) * I105, "")))*1000</f>
        <v>0</v>
      </c>
      <c r="M105" s="101"/>
      <c r="N105" s="57">
        <f>('CO2e Factors'!$F$82*'Emissions for Pavement Options'!J105*'Emissions for Pavement Options'!M105)+('CO2e Factors'!$F$83*'Emissions for Pavement Options'!M105)</f>
        <v>0</v>
      </c>
      <c r="O105" s="41">
        <f t="shared" si="10"/>
        <v>0</v>
      </c>
      <c r="P105" s="155"/>
    </row>
    <row r="106" spans="3:17" ht="14.5" customHeight="1" x14ac:dyDescent="0.35">
      <c r="C106" s="145"/>
      <c r="D106" s="145"/>
      <c r="E106" s="145"/>
      <c r="F106" s="1" t="s">
        <v>186</v>
      </c>
      <c r="G106" s="81"/>
      <c r="H106" s="99"/>
      <c r="I106" s="78">
        <f>$D$88*$E$88*H106</f>
        <v>0</v>
      </c>
      <c r="J106" s="78">
        <f t="shared" si="8"/>
        <v>0</v>
      </c>
      <c r="K106" s="81">
        <v>2400</v>
      </c>
      <c r="L106" s="58">
        <f>(IF(G106="",0,IFERROR(VLOOKUP(G106, 'CO2e Factors'!$C$10:$F$79, 4, FALSE) * I106, "")))</f>
        <v>0</v>
      </c>
      <c r="M106" s="101"/>
      <c r="N106" s="57">
        <f>('CO2e Factors'!$F$82*'Emissions for Pavement Options'!J106*'Emissions for Pavement Options'!M106)+('CO2e Factors'!$F$83*'Emissions for Pavement Options'!M106)</f>
        <v>0</v>
      </c>
      <c r="O106" s="41">
        <f t="shared" si="10"/>
        <v>0</v>
      </c>
      <c r="P106" s="155"/>
    </row>
    <row r="107" spans="3:17" ht="14.5" customHeight="1" x14ac:dyDescent="0.35">
      <c r="C107" s="146"/>
      <c r="D107" s="146"/>
      <c r="E107" s="146"/>
      <c r="F107" s="1" t="s">
        <v>187</v>
      </c>
      <c r="G107" s="81"/>
      <c r="H107" s="99"/>
      <c r="I107" s="78"/>
      <c r="J107" s="78"/>
      <c r="K107" s="81">
        <v>7750</v>
      </c>
      <c r="L107" s="58">
        <f>(IF(G107="",0,IFERROR(VLOOKUP(G107, 'CO2e Factors'!$C$10:$F$79, 4, FALSE) * J107, "")))</f>
        <v>0</v>
      </c>
      <c r="M107" s="101"/>
      <c r="N107" s="57">
        <f>('CO2e Factors'!$F$82*'Emissions for Pavement Options'!J107*'Emissions for Pavement Options'!M107)+('CO2e Factors'!$F$83*'Emissions for Pavement Options'!M107)</f>
        <v>0</v>
      </c>
      <c r="O107" s="41">
        <f t="shared" si="10"/>
        <v>0</v>
      </c>
      <c r="P107" s="156"/>
    </row>
    <row r="108" spans="3:17" ht="14.5" customHeight="1" x14ac:dyDescent="0.35">
      <c r="C108" s="144">
        <v>3</v>
      </c>
      <c r="D108" s="144">
        <v>40</v>
      </c>
      <c r="E108" s="144">
        <v>10</v>
      </c>
      <c r="F108" s="1" t="s">
        <v>159</v>
      </c>
      <c r="G108" s="98"/>
      <c r="H108" s="99"/>
      <c r="I108" s="78"/>
      <c r="J108" s="79"/>
      <c r="K108" s="80"/>
      <c r="L108" s="57">
        <f>('CO2e Factors'!$F$5*'Emissions for Pavement Options'!I108)</f>
        <v>0</v>
      </c>
      <c r="M108" s="100"/>
      <c r="N108" s="57">
        <f>('CO2e Factors'!$F$82*'Emissions for Pavement Options'!J108*'Emissions for Pavement Options'!M108)+('CO2e Factors'!$F$83*'Emissions for Pavement Options'!M108)</f>
        <v>0</v>
      </c>
      <c r="O108" s="41">
        <f>L108+N108</f>
        <v>0</v>
      </c>
      <c r="P108" s="154">
        <f>SUM(O108:O127)</f>
        <v>9075.2524631989854</v>
      </c>
    </row>
    <row r="109" spans="3:17" ht="14.5" customHeight="1" x14ac:dyDescent="0.35">
      <c r="C109" s="145"/>
      <c r="D109" s="145"/>
      <c r="E109" s="145"/>
      <c r="F109" s="1" t="s">
        <v>68</v>
      </c>
      <c r="G109" s="98"/>
      <c r="H109" s="99">
        <v>200</v>
      </c>
      <c r="I109" s="78">
        <f>$D$108*$E$108*H109</f>
        <v>80000</v>
      </c>
      <c r="J109" s="79"/>
      <c r="K109" s="81">
        <v>2100</v>
      </c>
      <c r="L109" s="57">
        <f>('CO2e Factors'!$F$6*'Emissions for Pavement Options'!I109)</f>
        <v>25.915555555555553</v>
      </c>
      <c r="M109" s="100"/>
      <c r="N109" s="57">
        <f>('CO2e Factors'!$F$82*'Emissions for Pavement Options'!J109*'Emissions for Pavement Options'!M109)+('CO2e Factors'!$F$83*'Emissions for Pavement Options'!M109)</f>
        <v>0</v>
      </c>
      <c r="O109" s="41">
        <f t="shared" ref="O109:O127" si="12">L109+N109</f>
        <v>25.915555555555553</v>
      </c>
      <c r="P109" s="155"/>
    </row>
    <row r="110" spans="3:17" ht="14.5" customHeight="1" x14ac:dyDescent="0.35">
      <c r="C110" s="145"/>
      <c r="D110" s="145"/>
      <c r="E110" s="145"/>
      <c r="F110" s="1" t="s">
        <v>204</v>
      </c>
      <c r="G110" s="98"/>
      <c r="H110" s="99">
        <v>300</v>
      </c>
      <c r="I110" s="78">
        <f>$D$108*$E$108*H110</f>
        <v>120000</v>
      </c>
      <c r="J110" s="78">
        <f>I110*K110/1000</f>
        <v>252000</v>
      </c>
      <c r="K110" s="81">
        <v>2100</v>
      </c>
      <c r="L110" s="57">
        <f>('CO2e Factors'!$F$7*'Emissions for Pavement Options'!I110)</f>
        <v>15.412136412176684</v>
      </c>
      <c r="M110" s="100"/>
      <c r="N110" s="57">
        <f>('CO2e Factors'!$F$82*'Emissions for Pavement Options'!J110*'Emissions for Pavement Options'!M110)+('CO2e Factors'!$F$83*'Emissions for Pavement Options'!M110)</f>
        <v>0</v>
      </c>
      <c r="O110" s="41">
        <f t="shared" si="12"/>
        <v>15.412136412176684</v>
      </c>
      <c r="P110" s="155"/>
    </row>
    <row r="111" spans="3:17" ht="14.5" customHeight="1" x14ac:dyDescent="0.35">
      <c r="C111" s="145"/>
      <c r="D111" s="145"/>
      <c r="E111" s="145"/>
      <c r="F111" s="1" t="s">
        <v>160</v>
      </c>
      <c r="G111" s="98"/>
      <c r="H111" s="99"/>
      <c r="I111" s="79"/>
      <c r="J111" s="78"/>
      <c r="K111" s="80"/>
      <c r="L111" s="57">
        <f>('CO2e Factors'!$F$8*'Emissions for Pavement Options'!J111)</f>
        <v>0</v>
      </c>
      <c r="M111" s="100"/>
      <c r="N111" s="57">
        <f>('CO2e Factors'!$F$82*'Emissions for Pavement Options'!J111*'Emissions for Pavement Options'!M111)+('CO2e Factors'!$F$83*'Emissions for Pavement Options'!M111)</f>
        <v>0</v>
      </c>
      <c r="O111" s="41">
        <f t="shared" si="12"/>
        <v>0</v>
      </c>
      <c r="P111" s="155"/>
    </row>
    <row r="112" spans="3:17" ht="14.5" customHeight="1" x14ac:dyDescent="0.35">
      <c r="C112" s="145"/>
      <c r="D112" s="145"/>
      <c r="E112" s="145"/>
      <c r="F112" s="1" t="s">
        <v>112</v>
      </c>
      <c r="G112" s="81" t="s">
        <v>118</v>
      </c>
      <c r="H112" s="99">
        <v>400</v>
      </c>
      <c r="I112" s="78">
        <f t="shared" ref="I112:I121" si="13">$D$108*$E$108*H112</f>
        <v>160000</v>
      </c>
      <c r="J112" s="78">
        <f t="shared" si="8"/>
        <v>320000</v>
      </c>
      <c r="K112" s="81">
        <v>2000</v>
      </c>
      <c r="L112" s="58">
        <f>(IF(G112="",0,IFERROR(VLOOKUP(G112, 'CO2e Factors'!$C$10:$F$79, 4, FALSE) * I112, "")))</f>
        <v>56.574871231253532</v>
      </c>
      <c r="M112" s="101"/>
      <c r="N112" s="57">
        <f>('CO2e Factors'!$F$82*'Emissions for Pavement Options'!J112*'Emissions for Pavement Options'!M112)+('CO2e Factors'!$F$83*'Emissions for Pavement Options'!M112)</f>
        <v>0</v>
      </c>
      <c r="O112" s="41">
        <f t="shared" si="12"/>
        <v>56.574871231253532</v>
      </c>
      <c r="P112" s="155"/>
    </row>
    <row r="113" spans="3:17" ht="14.5" customHeight="1" x14ac:dyDescent="0.35">
      <c r="C113" s="145"/>
      <c r="D113" s="145"/>
      <c r="E113" s="145"/>
      <c r="F113" s="1" t="s">
        <v>111</v>
      </c>
      <c r="G113" s="81"/>
      <c r="H113" s="99">
        <v>0</v>
      </c>
      <c r="I113" s="78">
        <f t="shared" si="13"/>
        <v>0</v>
      </c>
      <c r="J113" s="78">
        <f t="shared" si="8"/>
        <v>0</v>
      </c>
      <c r="K113" s="81">
        <v>1800</v>
      </c>
      <c r="L113" s="58">
        <f>(IF(G113="",0,IFERROR(VLOOKUP(G113, 'CO2e Factors'!$C$10:$F$79, 4, FALSE) * I113, "")))</f>
        <v>0</v>
      </c>
      <c r="M113" s="101"/>
      <c r="N113" s="57">
        <f>('CO2e Factors'!$F$82*'Emissions for Pavement Options'!J113*'Emissions for Pavement Options'!M113)+('CO2e Factors'!$F$83*'Emissions for Pavement Options'!M113)</f>
        <v>0</v>
      </c>
      <c r="O113" s="41">
        <f t="shared" si="12"/>
        <v>0</v>
      </c>
      <c r="P113" s="155"/>
    </row>
    <row r="114" spans="3:17" ht="14.5" customHeight="1" x14ac:dyDescent="0.35">
      <c r="C114" s="145"/>
      <c r="D114" s="145"/>
      <c r="E114" s="145"/>
      <c r="F114" s="1" t="s">
        <v>100</v>
      </c>
      <c r="G114" s="81" t="s">
        <v>40</v>
      </c>
      <c r="H114" s="99">
        <v>150</v>
      </c>
      <c r="I114" s="78">
        <f t="shared" si="13"/>
        <v>60000</v>
      </c>
      <c r="J114" s="78">
        <f t="shared" si="8"/>
        <v>108000</v>
      </c>
      <c r="K114" s="81">
        <v>1800</v>
      </c>
      <c r="L114" s="58">
        <f>(IF(G114="",0,IFERROR(VLOOKUP(G114, 'CO2e Factors'!$C$10:$F$79, 4, FALSE) * I114, "")))</f>
        <v>3306.3</v>
      </c>
      <c r="M114" s="101"/>
      <c r="N114" s="57">
        <f>('CO2e Factors'!$F$82*'Emissions for Pavement Options'!J114*'Emissions for Pavement Options'!M114)+('CO2e Factors'!$F$83*'Emissions for Pavement Options'!M114)</f>
        <v>0</v>
      </c>
      <c r="O114" s="41">
        <f t="shared" si="12"/>
        <v>3306.3</v>
      </c>
      <c r="P114" s="155"/>
    </row>
    <row r="115" spans="3:17" ht="14.5" customHeight="1" x14ac:dyDescent="0.35">
      <c r="C115" s="145"/>
      <c r="D115" s="145"/>
      <c r="E115" s="145"/>
      <c r="F115" s="1" t="s">
        <v>101</v>
      </c>
      <c r="G115" s="81"/>
      <c r="H115" s="99"/>
      <c r="I115" s="78">
        <f t="shared" si="13"/>
        <v>0</v>
      </c>
      <c r="J115" s="78">
        <f t="shared" si="8"/>
        <v>0</v>
      </c>
      <c r="K115" s="81">
        <v>1800</v>
      </c>
      <c r="L115" s="58">
        <f>(IF(G115="",0,IFERROR(VLOOKUP(G115, 'CO2e Factors'!$C$10:$F$79, 4, FALSE) * I115, "")))</f>
        <v>0</v>
      </c>
      <c r="M115" s="101"/>
      <c r="N115" s="57">
        <f>('CO2e Factors'!$F$82*'Emissions for Pavement Options'!J115*'Emissions for Pavement Options'!M115)+('CO2e Factors'!$F$83*'Emissions for Pavement Options'!M115)</f>
        <v>0</v>
      </c>
      <c r="O115" s="41">
        <f t="shared" si="12"/>
        <v>0</v>
      </c>
      <c r="P115" s="155"/>
    </row>
    <row r="116" spans="3:17" ht="14.5" customHeight="1" x14ac:dyDescent="0.35">
      <c r="C116" s="145"/>
      <c r="D116" s="145"/>
      <c r="E116" s="145"/>
      <c r="F116" s="1" t="s">
        <v>103</v>
      </c>
      <c r="G116" s="81" t="s">
        <v>34</v>
      </c>
      <c r="H116" s="99">
        <v>150</v>
      </c>
      <c r="I116" s="78">
        <f t="shared" si="13"/>
        <v>60000</v>
      </c>
      <c r="J116" s="78">
        <f t="shared" si="8"/>
        <v>102000</v>
      </c>
      <c r="K116" s="81">
        <v>1700</v>
      </c>
      <c r="L116" s="58">
        <f>(IF(G116="",0,IFERROR(VLOOKUP(G116, 'CO2e Factors'!$C$10:$F$79, 4, FALSE) * I116, "")))</f>
        <v>473.04</v>
      </c>
      <c r="M116" s="101"/>
      <c r="N116" s="57">
        <f>('CO2e Factors'!$F$82*'Emissions for Pavement Options'!J116*'Emissions for Pavement Options'!M116)+('CO2e Factors'!$F$83*'Emissions for Pavement Options'!M116)</f>
        <v>0</v>
      </c>
      <c r="O116" s="41">
        <f t="shared" si="12"/>
        <v>473.04</v>
      </c>
      <c r="P116" s="155"/>
    </row>
    <row r="117" spans="3:17" ht="14.5" customHeight="1" x14ac:dyDescent="0.35">
      <c r="C117" s="145"/>
      <c r="D117" s="145"/>
      <c r="E117" s="145"/>
      <c r="F117" s="1" t="s">
        <v>102</v>
      </c>
      <c r="G117" s="81"/>
      <c r="H117" s="99"/>
      <c r="I117" s="78">
        <f t="shared" si="13"/>
        <v>0</v>
      </c>
      <c r="J117" s="78">
        <f t="shared" si="8"/>
        <v>0</v>
      </c>
      <c r="K117" s="81">
        <v>1700</v>
      </c>
      <c r="L117" s="58">
        <f>(IF(G117="",0,IFERROR(VLOOKUP(G117, 'CO2e Factors'!$C$10:$F$79, 4, FALSE) * I117, "")))</f>
        <v>0</v>
      </c>
      <c r="M117" s="101"/>
      <c r="N117" s="57">
        <f>('CO2e Factors'!$F$82*'Emissions for Pavement Options'!J117*'Emissions for Pavement Options'!M117)+('CO2e Factors'!$F$83*'Emissions for Pavement Options'!M117)</f>
        <v>0</v>
      </c>
      <c r="O117" s="41">
        <f t="shared" si="12"/>
        <v>0</v>
      </c>
      <c r="P117" s="155"/>
    </row>
    <row r="118" spans="3:17" ht="14.5" customHeight="1" x14ac:dyDescent="0.35">
      <c r="C118" s="145"/>
      <c r="D118" s="145"/>
      <c r="E118" s="145"/>
      <c r="F118" s="1" t="s">
        <v>104</v>
      </c>
      <c r="G118" s="81" t="s">
        <v>44</v>
      </c>
      <c r="H118" s="99">
        <v>60</v>
      </c>
      <c r="I118" s="78">
        <f t="shared" si="13"/>
        <v>24000</v>
      </c>
      <c r="J118" s="78">
        <f t="shared" si="8"/>
        <v>57600</v>
      </c>
      <c r="K118" s="81">
        <v>2400</v>
      </c>
      <c r="L118" s="58">
        <f>(IF(G118="",0,IFERROR(VLOOKUP(G118, 'CO2e Factors'!$C$10:$F$79, 4, FALSE) * I118, "")))</f>
        <v>2936.6399999999994</v>
      </c>
      <c r="M118" s="101"/>
      <c r="N118" s="57">
        <f>('CO2e Factors'!$F$82*'Emissions for Pavement Options'!J118*'Emissions for Pavement Options'!M118)+('CO2e Factors'!$F$83*'Emissions for Pavement Options'!M118)</f>
        <v>0</v>
      </c>
      <c r="O118" s="41">
        <f t="shared" si="12"/>
        <v>2936.6399999999994</v>
      </c>
      <c r="P118" s="155"/>
    </row>
    <row r="119" spans="3:17" ht="14.5" customHeight="1" x14ac:dyDescent="0.35">
      <c r="C119" s="145"/>
      <c r="D119" s="145"/>
      <c r="E119" s="145"/>
      <c r="F119" s="1" t="s">
        <v>105</v>
      </c>
      <c r="G119" s="81" t="s">
        <v>42</v>
      </c>
      <c r="H119" s="99">
        <v>40</v>
      </c>
      <c r="I119" s="78">
        <f t="shared" si="13"/>
        <v>16000</v>
      </c>
      <c r="J119" s="78">
        <f t="shared" si="8"/>
        <v>38400</v>
      </c>
      <c r="K119" s="81">
        <v>2400</v>
      </c>
      <c r="L119" s="58">
        <f>(IF(G119="",0,IFERROR(VLOOKUP(G119, 'CO2e Factors'!$C$10:$F$79, 4, FALSE) * I119, "")))</f>
        <v>1994.56</v>
      </c>
      <c r="M119" s="101"/>
      <c r="N119" s="57">
        <f>('CO2e Factors'!$F$82*'Emissions for Pavement Options'!J119*'Emissions for Pavement Options'!M119)+('CO2e Factors'!$F$83*'Emissions for Pavement Options'!M119)</f>
        <v>0</v>
      </c>
      <c r="O119" s="41">
        <f t="shared" si="12"/>
        <v>1994.56</v>
      </c>
      <c r="P119" s="155"/>
      <c r="Q119" t="s">
        <v>252</v>
      </c>
    </row>
    <row r="120" spans="3:17" ht="14.5" customHeight="1" x14ac:dyDescent="0.35">
      <c r="C120" s="145"/>
      <c r="D120" s="145"/>
      <c r="E120" s="145"/>
      <c r="F120" s="1" t="s">
        <v>106</v>
      </c>
      <c r="G120" s="81" t="s">
        <v>146</v>
      </c>
      <c r="H120" s="99">
        <v>10</v>
      </c>
      <c r="I120" s="78">
        <f>$D$108*$E$108*1000</f>
        <v>400000</v>
      </c>
      <c r="J120" s="78">
        <f>I120*K120*(H120/1000)/1000</f>
        <v>7200</v>
      </c>
      <c r="K120" s="81">
        <v>1800</v>
      </c>
      <c r="L120" s="58">
        <f>(IF(G120="",0,IFERROR(VLOOKUP(G120, 'CO2e Factors'!$C$10:$F$79, 4, FALSE) * I120, "")))</f>
        <v>133.40494999999999</v>
      </c>
      <c r="M120" s="101"/>
      <c r="N120" s="57">
        <f>('CO2e Factors'!$F$82*'Emissions for Pavement Options'!J120*'Emissions for Pavement Options'!M120)+('CO2e Factors'!$F$83*'Emissions for Pavement Options'!M120)</f>
        <v>0</v>
      </c>
      <c r="O120" s="41">
        <f t="shared" si="12"/>
        <v>133.40494999999999</v>
      </c>
      <c r="P120" s="155"/>
    </row>
    <row r="121" spans="3:17" ht="14.5" customHeight="1" x14ac:dyDescent="0.35">
      <c r="C121" s="145"/>
      <c r="D121" s="145"/>
      <c r="E121" s="145"/>
      <c r="F121" s="1" t="s">
        <v>184</v>
      </c>
      <c r="G121" s="81"/>
      <c r="H121" s="99"/>
      <c r="I121" s="78">
        <f t="shared" si="13"/>
        <v>0</v>
      </c>
      <c r="J121" s="78">
        <f>I121*K121/1000</f>
        <v>0</v>
      </c>
      <c r="K121" s="81">
        <v>2400</v>
      </c>
      <c r="L121" s="58">
        <f>(IF(G121="",0,IFERROR(VLOOKUP(G121, 'CO2e Factors'!$C$10:$F$79, 4, FALSE) * I121, "")))</f>
        <v>0</v>
      </c>
      <c r="M121" s="101"/>
      <c r="N121" s="57">
        <f>('CO2e Factors'!$F$82*'Emissions for Pavement Options'!J121*'Emissions for Pavement Options'!M121)+('CO2e Factors'!$F$83*'Emissions for Pavement Options'!M121)</f>
        <v>0</v>
      </c>
      <c r="O121" s="41">
        <f t="shared" si="12"/>
        <v>0</v>
      </c>
      <c r="P121" s="155"/>
    </row>
    <row r="122" spans="3:17" ht="14.5" customHeight="1" x14ac:dyDescent="0.35">
      <c r="C122" s="145"/>
      <c r="D122" s="145"/>
      <c r="E122" s="145"/>
      <c r="F122" s="1" t="s">
        <v>185</v>
      </c>
      <c r="G122" s="81" t="s">
        <v>146</v>
      </c>
      <c r="H122" s="99">
        <v>10</v>
      </c>
      <c r="I122" s="78">
        <f>$D$108*$E$108*1000</f>
        <v>400000</v>
      </c>
      <c r="J122" s="78">
        <f>I122*K122*(H122/1000)/1000</f>
        <v>7200</v>
      </c>
      <c r="K122" s="81">
        <v>1800</v>
      </c>
      <c r="L122" s="58">
        <f>(IF(G122="",0,IFERROR(VLOOKUP(G122, 'CO2e Factors'!$C$10:$F$79, 4, FALSE) * I122, "")))</f>
        <v>133.40494999999999</v>
      </c>
      <c r="M122" s="101"/>
      <c r="N122" s="57">
        <f>('CO2e Factors'!$F$82*'Emissions for Pavement Options'!J122*'Emissions for Pavement Options'!M122)+('CO2e Factors'!$F$83*'Emissions for Pavement Options'!M122)</f>
        <v>0</v>
      </c>
      <c r="O122" s="41">
        <f t="shared" si="12"/>
        <v>133.40494999999999</v>
      </c>
      <c r="P122" s="155"/>
    </row>
    <row r="123" spans="3:17" ht="14.5" customHeight="1" x14ac:dyDescent="0.35">
      <c r="C123" s="145"/>
      <c r="D123" s="145"/>
      <c r="E123" s="145"/>
      <c r="F123" s="1" t="s">
        <v>188</v>
      </c>
      <c r="G123" s="81"/>
      <c r="H123" s="99">
        <v>1</v>
      </c>
      <c r="I123" s="78">
        <f>$D$108*$E$108</f>
        <v>400</v>
      </c>
      <c r="J123" s="78">
        <f t="shared" si="8"/>
        <v>400</v>
      </c>
      <c r="K123" s="81">
        <v>1000</v>
      </c>
      <c r="L123" s="58">
        <f>(IF(G123="",0,IFERROR(VLOOKUP(G123, 'CO2e Factors'!$C$10:$F$79, 4, FALSE) * I123, "")))*1000</f>
        <v>0</v>
      </c>
      <c r="M123" s="101"/>
      <c r="N123" s="57">
        <f>('CO2e Factors'!$F$82*'Emissions for Pavement Options'!J123*'Emissions for Pavement Options'!M123)+('CO2e Factors'!$F$83*'Emissions for Pavement Options'!M123)</f>
        <v>0</v>
      </c>
      <c r="O123" s="41">
        <f t="shared" si="12"/>
        <v>0</v>
      </c>
      <c r="P123" s="155"/>
    </row>
    <row r="124" spans="3:17" ht="14.5" customHeight="1" x14ac:dyDescent="0.35">
      <c r="C124" s="145"/>
      <c r="D124" s="145"/>
      <c r="E124" s="145"/>
      <c r="F124" s="1" t="s">
        <v>189</v>
      </c>
      <c r="G124" s="81"/>
      <c r="H124" s="99">
        <v>1</v>
      </c>
      <c r="I124" s="78">
        <f>$D$108*$E$108</f>
        <v>400</v>
      </c>
      <c r="J124" s="78">
        <f t="shared" si="8"/>
        <v>400</v>
      </c>
      <c r="K124" s="81">
        <v>1000</v>
      </c>
      <c r="L124" s="58">
        <f>(IF(G124="",0,IFERROR(VLOOKUP(G124, 'CO2e Factors'!$C$10:$F$79, 4, FALSE) * I124, "")))*1000</f>
        <v>0</v>
      </c>
      <c r="M124" s="101"/>
      <c r="N124" s="57">
        <f>('CO2e Factors'!$F$82*'Emissions for Pavement Options'!J124*'Emissions for Pavement Options'!M124)+('CO2e Factors'!$F$83*'Emissions for Pavement Options'!M124)</f>
        <v>0</v>
      </c>
      <c r="O124" s="41">
        <f t="shared" si="12"/>
        <v>0</v>
      </c>
      <c r="P124" s="155"/>
    </row>
    <row r="125" spans="3:17" ht="14.5" customHeight="1" x14ac:dyDescent="0.35">
      <c r="C125" s="145"/>
      <c r="D125" s="145"/>
      <c r="E125" s="145"/>
      <c r="F125" s="1" t="s">
        <v>195</v>
      </c>
      <c r="G125" s="81"/>
      <c r="H125" s="99">
        <v>1</v>
      </c>
      <c r="I125" s="78">
        <f>$D$108*$E$108</f>
        <v>400</v>
      </c>
      <c r="J125" s="78">
        <f t="shared" si="8"/>
        <v>400</v>
      </c>
      <c r="K125" s="81">
        <v>1000</v>
      </c>
      <c r="L125" s="58">
        <f>(IF(G125="",0,IFERROR(VLOOKUP(G125, 'CO2e Factors'!$C$10:$F$79, 4, FALSE) * I125, "")))*1000</f>
        <v>0</v>
      </c>
      <c r="M125" s="101"/>
      <c r="N125" s="57">
        <f>('CO2e Factors'!$F$82*'Emissions for Pavement Options'!J125*'Emissions for Pavement Options'!M125)+('CO2e Factors'!$F$83*'Emissions for Pavement Options'!M125)</f>
        <v>0</v>
      </c>
      <c r="O125" s="41">
        <f t="shared" si="12"/>
        <v>0</v>
      </c>
      <c r="P125" s="155"/>
    </row>
    <row r="126" spans="3:17" ht="14.5" customHeight="1" x14ac:dyDescent="0.35">
      <c r="C126" s="145"/>
      <c r="D126" s="145"/>
      <c r="E126" s="145"/>
      <c r="F126" s="1" t="s">
        <v>186</v>
      </c>
      <c r="G126" s="81"/>
      <c r="H126" s="99"/>
      <c r="I126" s="78">
        <f>$D$108*$E$108*H126</f>
        <v>0</v>
      </c>
      <c r="J126" s="78">
        <f t="shared" si="8"/>
        <v>0</v>
      </c>
      <c r="K126" s="81">
        <v>2400</v>
      </c>
      <c r="L126" s="58">
        <f>(IF(G126="",0,IFERROR(VLOOKUP(G126, 'CO2e Factors'!$C$10:$F$79, 4, FALSE) * I126, "")))</f>
        <v>0</v>
      </c>
      <c r="M126" s="101"/>
      <c r="N126" s="57">
        <f>('CO2e Factors'!$F$82*'Emissions for Pavement Options'!J126*'Emissions for Pavement Options'!M126)+('CO2e Factors'!$F$83*'Emissions for Pavement Options'!M126)</f>
        <v>0</v>
      </c>
      <c r="O126" s="41">
        <f t="shared" si="12"/>
        <v>0</v>
      </c>
      <c r="P126" s="155"/>
    </row>
    <row r="127" spans="3:17" ht="14.5" customHeight="1" x14ac:dyDescent="0.35">
      <c r="C127" s="146"/>
      <c r="D127" s="146"/>
      <c r="E127" s="146"/>
      <c r="F127" s="1" t="s">
        <v>187</v>
      </c>
      <c r="G127" s="81"/>
      <c r="H127" s="99"/>
      <c r="I127" s="78"/>
      <c r="J127" s="78"/>
      <c r="K127" s="81">
        <v>7750</v>
      </c>
      <c r="L127" s="58">
        <f>(IF(G127="",0,IFERROR(VLOOKUP(G127, 'CO2e Factors'!$C$10:$F$79, 4, FALSE) * J127, "")))</f>
        <v>0</v>
      </c>
      <c r="M127" s="101"/>
      <c r="N127" s="57">
        <f>('CO2e Factors'!$F$82*'Emissions for Pavement Options'!J127*'Emissions for Pavement Options'!M127)+('CO2e Factors'!$F$83*'Emissions for Pavement Options'!M127)</f>
        <v>0</v>
      </c>
      <c r="O127" s="41">
        <f t="shared" si="12"/>
        <v>0</v>
      </c>
      <c r="P127" s="156"/>
    </row>
    <row r="128" spans="3:17" ht="21" x14ac:dyDescent="0.5">
      <c r="C128" s="151" t="s">
        <v>164</v>
      </c>
      <c r="D128" s="152"/>
      <c r="E128" s="152"/>
      <c r="F128" s="152"/>
      <c r="G128" s="152"/>
      <c r="H128" s="152"/>
      <c r="I128" s="152"/>
      <c r="J128" s="152"/>
      <c r="K128" s="152"/>
      <c r="L128" s="152"/>
      <c r="M128" s="152"/>
      <c r="N128" s="152"/>
      <c r="O128" s="153"/>
      <c r="P128" s="59">
        <f>P68+P88+P108</f>
        <v>20389.262641856112</v>
      </c>
    </row>
    <row r="130" spans="3:17" x14ac:dyDescent="0.35">
      <c r="C130" s="11" t="s">
        <v>128</v>
      </c>
    </row>
    <row r="131" spans="3:17" ht="49.5" customHeight="1" x14ac:dyDescent="0.35">
      <c r="C131" s="6" t="s">
        <v>109</v>
      </c>
      <c r="D131" s="10" t="s">
        <v>114</v>
      </c>
      <c r="E131" s="10" t="s">
        <v>108</v>
      </c>
      <c r="F131" s="6" t="s">
        <v>13</v>
      </c>
      <c r="G131" s="6" t="s">
        <v>69</v>
      </c>
      <c r="H131" s="10" t="s">
        <v>107</v>
      </c>
      <c r="I131" s="10" t="s">
        <v>110</v>
      </c>
      <c r="J131" s="10" t="s">
        <v>113</v>
      </c>
      <c r="K131" s="10" t="s">
        <v>249</v>
      </c>
      <c r="L131" s="10" t="s">
        <v>294</v>
      </c>
      <c r="M131" s="10" t="s">
        <v>248</v>
      </c>
      <c r="N131" s="10" t="s">
        <v>295</v>
      </c>
      <c r="O131" s="10" t="s">
        <v>296</v>
      </c>
      <c r="P131" s="10" t="s">
        <v>297</v>
      </c>
    </row>
    <row r="132" spans="3:17" ht="14.5" customHeight="1" x14ac:dyDescent="0.35">
      <c r="C132" s="144">
        <v>1</v>
      </c>
      <c r="D132" s="144">
        <v>20</v>
      </c>
      <c r="E132" s="144">
        <v>10</v>
      </c>
      <c r="F132" s="1" t="s">
        <v>159</v>
      </c>
      <c r="G132" s="98"/>
      <c r="H132" s="99"/>
      <c r="I132" s="78"/>
      <c r="J132" s="79"/>
      <c r="K132" s="80"/>
      <c r="L132" s="57">
        <f>('CO2e Factors'!$F$5*'Emissions for Pavement Options'!I132)</f>
        <v>0</v>
      </c>
      <c r="M132" s="100"/>
      <c r="N132" s="57">
        <f>('CO2e Factors'!$F$82*'Emissions for Pavement Options'!J132*'Emissions for Pavement Options'!M132)+('CO2e Factors'!$F$83*'Emissions for Pavement Options'!M132)</f>
        <v>0</v>
      </c>
      <c r="O132" s="41">
        <f>L132+N132</f>
        <v>0</v>
      </c>
      <c r="P132" s="154">
        <f>SUM(O132:O151)</f>
        <v>0</v>
      </c>
    </row>
    <row r="133" spans="3:17" ht="14.5" customHeight="1" x14ac:dyDescent="0.35">
      <c r="C133" s="145"/>
      <c r="D133" s="145"/>
      <c r="E133" s="145"/>
      <c r="F133" s="1" t="s">
        <v>68</v>
      </c>
      <c r="G133" s="98"/>
      <c r="H133" s="99"/>
      <c r="I133" s="78">
        <f>$D$132*$E$132*H133</f>
        <v>0</v>
      </c>
      <c r="J133" s="79"/>
      <c r="K133" s="81">
        <v>2100</v>
      </c>
      <c r="L133" s="57">
        <f>('CO2e Factors'!$F$6*'Emissions for Pavement Options'!I133)</f>
        <v>0</v>
      </c>
      <c r="M133" s="100"/>
      <c r="N133" s="57">
        <f>('CO2e Factors'!$F$82*'Emissions for Pavement Options'!J133*'Emissions for Pavement Options'!M133)+('CO2e Factors'!$F$83*'Emissions for Pavement Options'!M133)</f>
        <v>0</v>
      </c>
      <c r="O133" s="41">
        <f t="shared" ref="O133:O151" si="14">L133+N133</f>
        <v>0</v>
      </c>
      <c r="P133" s="155"/>
    </row>
    <row r="134" spans="3:17" ht="14.5" customHeight="1" x14ac:dyDescent="0.35">
      <c r="C134" s="145"/>
      <c r="D134" s="145"/>
      <c r="E134" s="145"/>
      <c r="F134" s="1" t="s">
        <v>204</v>
      </c>
      <c r="G134" s="98"/>
      <c r="H134" s="99"/>
      <c r="I134" s="78">
        <f>$D$132*$E$132*H134</f>
        <v>0</v>
      </c>
      <c r="J134" s="78">
        <f>I134*K134/1000</f>
        <v>0</v>
      </c>
      <c r="K134" s="81">
        <v>2100</v>
      </c>
      <c r="L134" s="57">
        <f>('CO2e Factors'!$F$7*'Emissions for Pavement Options'!I134)</f>
        <v>0</v>
      </c>
      <c r="M134" s="100"/>
      <c r="N134" s="57">
        <f>('CO2e Factors'!$F$82*'Emissions for Pavement Options'!J134*'Emissions for Pavement Options'!M134)+('CO2e Factors'!$F$83*'Emissions for Pavement Options'!M134)</f>
        <v>0</v>
      </c>
      <c r="O134" s="41">
        <f t="shared" si="14"/>
        <v>0</v>
      </c>
      <c r="P134" s="155"/>
    </row>
    <row r="135" spans="3:17" ht="14.5" customHeight="1" x14ac:dyDescent="0.35">
      <c r="C135" s="145"/>
      <c r="D135" s="145"/>
      <c r="E135" s="145"/>
      <c r="F135" s="1" t="s">
        <v>160</v>
      </c>
      <c r="G135" s="98"/>
      <c r="H135" s="99"/>
      <c r="I135" s="79"/>
      <c r="J135" s="78"/>
      <c r="K135" s="80"/>
      <c r="L135" s="57">
        <f>('CO2e Factors'!$F$8*'Emissions for Pavement Options'!J135)</f>
        <v>0</v>
      </c>
      <c r="M135" s="100"/>
      <c r="N135" s="57">
        <f>('CO2e Factors'!$F$82*'Emissions for Pavement Options'!J135*'Emissions for Pavement Options'!M135)+('CO2e Factors'!$F$83*'Emissions for Pavement Options'!M135)</f>
        <v>0</v>
      </c>
      <c r="O135" s="41">
        <f t="shared" si="14"/>
        <v>0</v>
      </c>
      <c r="P135" s="155"/>
    </row>
    <row r="136" spans="3:17" ht="14.5" customHeight="1" x14ac:dyDescent="0.35">
      <c r="C136" s="145"/>
      <c r="D136" s="145"/>
      <c r="E136" s="145"/>
      <c r="F136" s="1" t="s">
        <v>112</v>
      </c>
      <c r="G136" s="81"/>
      <c r="H136" s="99"/>
      <c r="I136" s="78">
        <f t="shared" ref="I136:I143" si="15">$D$132*$E$132*H136</f>
        <v>0</v>
      </c>
      <c r="J136" s="78">
        <f t="shared" ref="J136:J190" si="16">I136*K136/1000</f>
        <v>0</v>
      </c>
      <c r="K136" s="81">
        <v>2000</v>
      </c>
      <c r="L136" s="58">
        <f>(IF(G136="",0,IFERROR(VLOOKUP(G136, 'CO2e Factors'!$C$10:$F$79, 4, FALSE) * I136, "")))</f>
        <v>0</v>
      </c>
      <c r="M136" s="101"/>
      <c r="N136" s="57">
        <f>('CO2e Factors'!$F$82*'Emissions for Pavement Options'!J136*'Emissions for Pavement Options'!M136)+('CO2e Factors'!$F$83*'Emissions for Pavement Options'!M136)</f>
        <v>0</v>
      </c>
      <c r="O136" s="41">
        <f t="shared" si="14"/>
        <v>0</v>
      </c>
      <c r="P136" s="155"/>
    </row>
    <row r="137" spans="3:17" ht="14.5" customHeight="1" x14ac:dyDescent="0.35">
      <c r="C137" s="145"/>
      <c r="D137" s="145"/>
      <c r="E137" s="145"/>
      <c r="F137" s="1" t="s">
        <v>111</v>
      </c>
      <c r="G137" s="81"/>
      <c r="H137" s="99"/>
      <c r="I137" s="78">
        <f t="shared" si="15"/>
        <v>0</v>
      </c>
      <c r="J137" s="78">
        <f t="shared" si="16"/>
        <v>0</v>
      </c>
      <c r="K137" s="81">
        <v>1800</v>
      </c>
      <c r="L137" s="58">
        <f>(IF(G137="",0,IFERROR(VLOOKUP(G137, 'CO2e Factors'!$C$10:$F$79, 4, FALSE) * I137, "")))</f>
        <v>0</v>
      </c>
      <c r="M137" s="101"/>
      <c r="N137" s="57">
        <f>('CO2e Factors'!$F$82*'Emissions for Pavement Options'!J137*'Emissions for Pavement Options'!M137)+('CO2e Factors'!$F$83*'Emissions for Pavement Options'!M137)</f>
        <v>0</v>
      </c>
      <c r="O137" s="41">
        <f t="shared" si="14"/>
        <v>0</v>
      </c>
      <c r="P137" s="155"/>
    </row>
    <row r="138" spans="3:17" ht="14.5" customHeight="1" x14ac:dyDescent="0.35">
      <c r="C138" s="145"/>
      <c r="D138" s="145"/>
      <c r="E138" s="145"/>
      <c r="F138" s="1" t="s">
        <v>100</v>
      </c>
      <c r="G138" s="81"/>
      <c r="H138" s="99"/>
      <c r="I138" s="78">
        <f t="shared" si="15"/>
        <v>0</v>
      </c>
      <c r="J138" s="78">
        <f t="shared" si="16"/>
        <v>0</v>
      </c>
      <c r="K138" s="81">
        <v>1800</v>
      </c>
      <c r="L138" s="58">
        <f>(IF(G138="",0,IFERROR(VLOOKUP(G138, 'CO2e Factors'!$C$10:$F$79, 4, FALSE) * I138, "")))</f>
        <v>0</v>
      </c>
      <c r="M138" s="101"/>
      <c r="N138" s="57">
        <f>('CO2e Factors'!$F$82*'Emissions for Pavement Options'!J138*'Emissions for Pavement Options'!M138)+('CO2e Factors'!$F$83*'Emissions for Pavement Options'!M138)</f>
        <v>0</v>
      </c>
      <c r="O138" s="41">
        <f t="shared" si="14"/>
        <v>0</v>
      </c>
      <c r="P138" s="155"/>
    </row>
    <row r="139" spans="3:17" ht="14.5" customHeight="1" x14ac:dyDescent="0.35">
      <c r="C139" s="145"/>
      <c r="D139" s="145"/>
      <c r="E139" s="145"/>
      <c r="F139" s="1" t="s">
        <v>101</v>
      </c>
      <c r="G139" s="81"/>
      <c r="H139" s="99"/>
      <c r="I139" s="78">
        <f t="shared" si="15"/>
        <v>0</v>
      </c>
      <c r="J139" s="78">
        <f t="shared" si="16"/>
        <v>0</v>
      </c>
      <c r="K139" s="81">
        <v>1800</v>
      </c>
      <c r="L139" s="58">
        <f>(IF(G139="",0,IFERROR(VLOOKUP(G139, 'CO2e Factors'!$C$10:$F$79, 4, FALSE) * I139, "")))</f>
        <v>0</v>
      </c>
      <c r="M139" s="101"/>
      <c r="N139" s="57">
        <f>('CO2e Factors'!$F$82*'Emissions for Pavement Options'!J139*'Emissions for Pavement Options'!M139)+('CO2e Factors'!$F$83*'Emissions for Pavement Options'!M139)</f>
        <v>0</v>
      </c>
      <c r="O139" s="41">
        <f t="shared" si="14"/>
        <v>0</v>
      </c>
      <c r="P139" s="155"/>
    </row>
    <row r="140" spans="3:17" ht="14.5" customHeight="1" x14ac:dyDescent="0.35">
      <c r="C140" s="145"/>
      <c r="D140" s="145"/>
      <c r="E140" s="145"/>
      <c r="F140" s="1" t="s">
        <v>103</v>
      </c>
      <c r="G140" s="81"/>
      <c r="H140" s="99"/>
      <c r="I140" s="78">
        <f t="shared" si="15"/>
        <v>0</v>
      </c>
      <c r="J140" s="78">
        <f t="shared" si="16"/>
        <v>0</v>
      </c>
      <c r="K140" s="81">
        <v>1700</v>
      </c>
      <c r="L140" s="58">
        <f>(IF(G140="",0,IFERROR(VLOOKUP(G140, 'CO2e Factors'!$C$10:$F$79, 4, FALSE) * I140, "")))</f>
        <v>0</v>
      </c>
      <c r="M140" s="101"/>
      <c r="N140" s="57">
        <f>('CO2e Factors'!$F$82*'Emissions for Pavement Options'!J140*'Emissions for Pavement Options'!M140)+('CO2e Factors'!$F$83*'Emissions for Pavement Options'!M140)</f>
        <v>0</v>
      </c>
      <c r="O140" s="41">
        <f t="shared" si="14"/>
        <v>0</v>
      </c>
      <c r="P140" s="155"/>
    </row>
    <row r="141" spans="3:17" ht="14.5" customHeight="1" x14ac:dyDescent="0.35">
      <c r="C141" s="145"/>
      <c r="D141" s="145"/>
      <c r="E141" s="145"/>
      <c r="F141" s="1" t="s">
        <v>102</v>
      </c>
      <c r="G141" s="81"/>
      <c r="H141" s="99"/>
      <c r="I141" s="78">
        <f t="shared" si="15"/>
        <v>0</v>
      </c>
      <c r="J141" s="78">
        <f t="shared" si="16"/>
        <v>0</v>
      </c>
      <c r="K141" s="81">
        <v>1700</v>
      </c>
      <c r="L141" s="58">
        <f>(IF(G141="",0,IFERROR(VLOOKUP(G141, 'CO2e Factors'!$C$10:$F$79, 4, FALSE) * I141, "")))</f>
        <v>0</v>
      </c>
      <c r="M141" s="101"/>
      <c r="N141" s="57">
        <f>('CO2e Factors'!$F$82*'Emissions for Pavement Options'!J141*'Emissions for Pavement Options'!M141)+('CO2e Factors'!$F$83*'Emissions for Pavement Options'!M141)</f>
        <v>0</v>
      </c>
      <c r="O141" s="41">
        <f t="shared" si="14"/>
        <v>0</v>
      </c>
      <c r="P141" s="155"/>
    </row>
    <row r="142" spans="3:17" ht="14.5" customHeight="1" x14ac:dyDescent="0.35">
      <c r="C142" s="145"/>
      <c r="D142" s="145"/>
      <c r="E142" s="145"/>
      <c r="F142" s="1" t="s">
        <v>104</v>
      </c>
      <c r="G142" s="81"/>
      <c r="H142" s="99"/>
      <c r="I142" s="78">
        <f t="shared" si="15"/>
        <v>0</v>
      </c>
      <c r="J142" s="78">
        <f t="shared" si="16"/>
        <v>0</v>
      </c>
      <c r="K142" s="81">
        <v>2400</v>
      </c>
      <c r="L142" s="58">
        <f>(IF(G142="",0,IFERROR(VLOOKUP(G142, 'CO2e Factors'!$C$10:$F$79, 4, FALSE) * I142, "")))</f>
        <v>0</v>
      </c>
      <c r="M142" s="101"/>
      <c r="N142" s="57">
        <f>('CO2e Factors'!$F$82*'Emissions for Pavement Options'!J142*'Emissions for Pavement Options'!M142)+('CO2e Factors'!$F$83*'Emissions for Pavement Options'!M142)</f>
        <v>0</v>
      </c>
      <c r="O142" s="41">
        <f t="shared" si="14"/>
        <v>0</v>
      </c>
      <c r="P142" s="155"/>
    </row>
    <row r="143" spans="3:17" ht="14.5" customHeight="1" x14ac:dyDescent="0.35">
      <c r="C143" s="145"/>
      <c r="D143" s="145"/>
      <c r="E143" s="145"/>
      <c r="F143" s="1" t="s">
        <v>105</v>
      </c>
      <c r="G143" s="81"/>
      <c r="H143" s="99"/>
      <c r="I143" s="78">
        <f t="shared" si="15"/>
        <v>0</v>
      </c>
      <c r="J143" s="78">
        <f t="shared" si="16"/>
        <v>0</v>
      </c>
      <c r="K143" s="81">
        <v>2400</v>
      </c>
      <c r="L143" s="58">
        <f>(IF(G143="",0,IFERROR(VLOOKUP(G143, 'CO2e Factors'!$C$10:$F$79, 4, FALSE) * I143, "")))</f>
        <v>0</v>
      </c>
      <c r="M143" s="101"/>
      <c r="N143" s="57">
        <f>('CO2e Factors'!$F$82*'Emissions for Pavement Options'!J143*'Emissions for Pavement Options'!M143)+('CO2e Factors'!$F$83*'Emissions for Pavement Options'!M143)</f>
        <v>0</v>
      </c>
      <c r="O143" s="41">
        <f t="shared" si="14"/>
        <v>0</v>
      </c>
      <c r="P143" s="155"/>
      <c r="Q143" t="s">
        <v>252</v>
      </c>
    </row>
    <row r="144" spans="3:17" ht="14.5" customHeight="1" x14ac:dyDescent="0.35">
      <c r="C144" s="145"/>
      <c r="D144" s="145"/>
      <c r="E144" s="145"/>
      <c r="F144" s="1" t="s">
        <v>106</v>
      </c>
      <c r="G144" s="81"/>
      <c r="H144" s="99"/>
      <c r="I144" s="78">
        <f>$D$132*$E$132*1000</f>
        <v>200000</v>
      </c>
      <c r="J144" s="78">
        <f>I144*K144*(H144/1000)/1000</f>
        <v>0</v>
      </c>
      <c r="K144" s="81">
        <v>1800</v>
      </c>
      <c r="L144" s="58">
        <f>(IF(G144="",0,IFERROR(VLOOKUP(G144, 'CO2e Factors'!$C$10:$F$79, 4, FALSE) * I144, "")))</f>
        <v>0</v>
      </c>
      <c r="M144" s="101"/>
      <c r="N144" s="57">
        <f>('CO2e Factors'!$F$82*'Emissions for Pavement Options'!J144*'Emissions for Pavement Options'!M144)+('CO2e Factors'!$F$83*'Emissions for Pavement Options'!M144)</f>
        <v>0</v>
      </c>
      <c r="O144" s="41">
        <f t="shared" si="14"/>
        <v>0</v>
      </c>
      <c r="P144" s="155"/>
    </row>
    <row r="145" spans="3:16" ht="14.5" customHeight="1" x14ac:dyDescent="0.35">
      <c r="C145" s="145"/>
      <c r="D145" s="145"/>
      <c r="E145" s="145"/>
      <c r="F145" s="1" t="s">
        <v>184</v>
      </c>
      <c r="G145" s="81"/>
      <c r="H145" s="99"/>
      <c r="I145" s="78">
        <f>$D$132*$E$132*H145</f>
        <v>0</v>
      </c>
      <c r="J145" s="78">
        <f>I145*K145/1000</f>
        <v>0</v>
      </c>
      <c r="K145" s="81">
        <v>2400</v>
      </c>
      <c r="L145" s="58">
        <f>(IF(G145="",0,IFERROR(VLOOKUP(G145, 'CO2e Factors'!$C$10:$F$79, 4, FALSE) * I145, "")))</f>
        <v>0</v>
      </c>
      <c r="M145" s="101"/>
      <c r="N145" s="57">
        <f>('CO2e Factors'!$F$82*'Emissions for Pavement Options'!J145*'Emissions for Pavement Options'!M145)+('CO2e Factors'!$F$83*'Emissions for Pavement Options'!M145)</f>
        <v>0</v>
      </c>
      <c r="O145" s="41">
        <f t="shared" si="14"/>
        <v>0</v>
      </c>
      <c r="P145" s="155"/>
    </row>
    <row r="146" spans="3:16" ht="14.5" customHeight="1" x14ac:dyDescent="0.35">
      <c r="C146" s="145"/>
      <c r="D146" s="145"/>
      <c r="E146" s="145"/>
      <c r="F146" s="1" t="s">
        <v>185</v>
      </c>
      <c r="G146" s="81"/>
      <c r="H146" s="99"/>
      <c r="I146" s="78">
        <f>$D$132*$E$132*1000</f>
        <v>200000</v>
      </c>
      <c r="J146" s="78">
        <f>I146*K146*(H146/1000)/1000</f>
        <v>0</v>
      </c>
      <c r="K146" s="81">
        <v>1800</v>
      </c>
      <c r="L146" s="58">
        <f>(IF(G146="",0,IFERROR(VLOOKUP(G146, 'CO2e Factors'!$C$10:$F$79, 4, FALSE) * I146, "")))</f>
        <v>0</v>
      </c>
      <c r="M146" s="101"/>
      <c r="N146" s="57">
        <f>('CO2e Factors'!$F$82*'Emissions for Pavement Options'!J146*'Emissions for Pavement Options'!M146)+('CO2e Factors'!$F$83*'Emissions for Pavement Options'!M146)</f>
        <v>0</v>
      </c>
      <c r="O146" s="41">
        <f t="shared" si="14"/>
        <v>0</v>
      </c>
      <c r="P146" s="155"/>
    </row>
    <row r="147" spans="3:16" ht="14.5" customHeight="1" x14ac:dyDescent="0.35">
      <c r="C147" s="145"/>
      <c r="D147" s="145"/>
      <c r="E147" s="145"/>
      <c r="F147" s="1" t="s">
        <v>188</v>
      </c>
      <c r="G147" s="81"/>
      <c r="H147" s="99"/>
      <c r="I147" s="78">
        <f>$D$132*$E$132</f>
        <v>200</v>
      </c>
      <c r="J147" s="78">
        <f t="shared" si="16"/>
        <v>200</v>
      </c>
      <c r="K147" s="81">
        <v>1000</v>
      </c>
      <c r="L147" s="58">
        <f>(IF(G147="",0,IFERROR(VLOOKUP(G147, 'CO2e Factors'!$C$10:$F$79, 4, FALSE) * I147, "")))*1000</f>
        <v>0</v>
      </c>
      <c r="M147" s="101"/>
      <c r="N147" s="57">
        <f>('CO2e Factors'!$F$82*'Emissions for Pavement Options'!J147*'Emissions for Pavement Options'!M147)+('CO2e Factors'!$F$83*'Emissions for Pavement Options'!M147)</f>
        <v>0</v>
      </c>
      <c r="O147" s="41">
        <f t="shared" si="14"/>
        <v>0</v>
      </c>
      <c r="P147" s="155"/>
    </row>
    <row r="148" spans="3:16" ht="14.5" customHeight="1" x14ac:dyDescent="0.35">
      <c r="C148" s="145"/>
      <c r="D148" s="145"/>
      <c r="E148" s="145"/>
      <c r="F148" s="1" t="s">
        <v>189</v>
      </c>
      <c r="G148" s="81"/>
      <c r="H148" s="99"/>
      <c r="I148" s="78">
        <f>$D$132*$E$132</f>
        <v>200</v>
      </c>
      <c r="J148" s="78">
        <f t="shared" si="16"/>
        <v>200</v>
      </c>
      <c r="K148" s="81">
        <v>1000</v>
      </c>
      <c r="L148" s="58">
        <f>(IF(G148="",0,IFERROR(VLOOKUP(G148, 'CO2e Factors'!$C$10:$F$79, 4, FALSE) * I148, "")))*1000</f>
        <v>0</v>
      </c>
      <c r="M148" s="101"/>
      <c r="N148" s="57">
        <f>('CO2e Factors'!$F$82*'Emissions for Pavement Options'!J148*'Emissions for Pavement Options'!M148)+('CO2e Factors'!$F$83*'Emissions for Pavement Options'!M148)</f>
        <v>0</v>
      </c>
      <c r="O148" s="41">
        <f t="shared" si="14"/>
        <v>0</v>
      </c>
      <c r="P148" s="155"/>
    </row>
    <row r="149" spans="3:16" ht="14.5" customHeight="1" x14ac:dyDescent="0.35">
      <c r="C149" s="145"/>
      <c r="D149" s="145"/>
      <c r="E149" s="145"/>
      <c r="F149" s="1" t="s">
        <v>195</v>
      </c>
      <c r="G149" s="81"/>
      <c r="H149" s="99"/>
      <c r="I149" s="78">
        <f>$D$132*$E$132</f>
        <v>200</v>
      </c>
      <c r="J149" s="78">
        <f t="shared" si="16"/>
        <v>200</v>
      </c>
      <c r="K149" s="81">
        <v>1000</v>
      </c>
      <c r="L149" s="58">
        <f>(IF(G149="",0,IFERROR(VLOOKUP(G149, 'CO2e Factors'!$C$10:$F$79, 4, FALSE) * I149, "")))*1000</f>
        <v>0</v>
      </c>
      <c r="M149" s="101"/>
      <c r="N149" s="57">
        <f>('CO2e Factors'!$F$82*'Emissions for Pavement Options'!J149*'Emissions for Pavement Options'!M149)+('CO2e Factors'!$F$83*'Emissions for Pavement Options'!M149)</f>
        <v>0</v>
      </c>
      <c r="O149" s="41">
        <f t="shared" si="14"/>
        <v>0</v>
      </c>
      <c r="P149" s="155"/>
    </row>
    <row r="150" spans="3:16" ht="14.5" customHeight="1" x14ac:dyDescent="0.35">
      <c r="C150" s="145"/>
      <c r="D150" s="145"/>
      <c r="E150" s="145"/>
      <c r="F150" s="1" t="s">
        <v>186</v>
      </c>
      <c r="G150" s="81"/>
      <c r="H150" s="99"/>
      <c r="I150" s="78">
        <f>$D$132*$E$132*H150</f>
        <v>0</v>
      </c>
      <c r="J150" s="78">
        <f t="shared" si="16"/>
        <v>0</v>
      </c>
      <c r="K150" s="81">
        <v>2400</v>
      </c>
      <c r="L150" s="58">
        <f>(IF(G150="",0,IFERROR(VLOOKUP(G150, 'CO2e Factors'!$C$10:$F$79, 4, FALSE) * I150, "")))</f>
        <v>0</v>
      </c>
      <c r="M150" s="101"/>
      <c r="N150" s="57">
        <f>('CO2e Factors'!$F$82*'Emissions for Pavement Options'!J150*'Emissions for Pavement Options'!M150)+('CO2e Factors'!$F$83*'Emissions for Pavement Options'!M150)</f>
        <v>0</v>
      </c>
      <c r="O150" s="41">
        <f t="shared" si="14"/>
        <v>0</v>
      </c>
      <c r="P150" s="155"/>
    </row>
    <row r="151" spans="3:16" ht="14.5" customHeight="1" x14ac:dyDescent="0.35">
      <c r="C151" s="146"/>
      <c r="D151" s="146"/>
      <c r="E151" s="146"/>
      <c r="F151" s="1" t="s">
        <v>187</v>
      </c>
      <c r="G151" s="81"/>
      <c r="H151" s="99"/>
      <c r="I151" s="78"/>
      <c r="J151" s="78"/>
      <c r="K151" s="81">
        <v>7750</v>
      </c>
      <c r="L151" s="58">
        <f>(IF(G151="",0,IFERROR(VLOOKUP(G151, 'CO2e Factors'!$C$10:$F$79, 4, FALSE) * J151, "")))</f>
        <v>0</v>
      </c>
      <c r="M151" s="101"/>
      <c r="N151" s="57">
        <f>('CO2e Factors'!$F$82*'Emissions for Pavement Options'!J151*'Emissions for Pavement Options'!M151)+('CO2e Factors'!$F$83*'Emissions for Pavement Options'!M151)</f>
        <v>0</v>
      </c>
      <c r="O151" s="41">
        <f t="shared" si="14"/>
        <v>0</v>
      </c>
      <c r="P151" s="156"/>
    </row>
    <row r="152" spans="3:16" ht="14.5" customHeight="1" x14ac:dyDescent="0.35">
      <c r="C152" s="144">
        <v>2</v>
      </c>
      <c r="D152" s="144">
        <v>30</v>
      </c>
      <c r="E152" s="144">
        <v>10</v>
      </c>
      <c r="F152" s="1" t="s">
        <v>159</v>
      </c>
      <c r="G152" s="98"/>
      <c r="H152" s="99"/>
      <c r="I152" s="78"/>
      <c r="J152" s="79"/>
      <c r="K152" s="80"/>
      <c r="L152" s="57">
        <f>('CO2e Factors'!$F$5*'Emissions for Pavement Options'!I152)</f>
        <v>0</v>
      </c>
      <c r="M152" s="100"/>
      <c r="N152" s="57">
        <f>('CO2e Factors'!$F$82*'Emissions for Pavement Options'!J152*'Emissions for Pavement Options'!M152)+('CO2e Factors'!$F$83*'Emissions for Pavement Options'!M152)</f>
        <v>0</v>
      </c>
      <c r="O152" s="41">
        <f>L152+N152</f>
        <v>0</v>
      </c>
      <c r="P152" s="154">
        <f>SUM(O152:O171)</f>
        <v>0</v>
      </c>
    </row>
    <row r="153" spans="3:16" ht="14.5" customHeight="1" x14ac:dyDescent="0.35">
      <c r="C153" s="145"/>
      <c r="D153" s="145"/>
      <c r="E153" s="145"/>
      <c r="F153" s="1" t="s">
        <v>68</v>
      </c>
      <c r="G153" s="98"/>
      <c r="H153" s="99"/>
      <c r="I153" s="78">
        <f>$D$152*$E$152*H153</f>
        <v>0</v>
      </c>
      <c r="J153" s="79"/>
      <c r="K153" s="81">
        <v>2100</v>
      </c>
      <c r="L153" s="57">
        <f>('CO2e Factors'!$F$6*'Emissions for Pavement Options'!I153)</f>
        <v>0</v>
      </c>
      <c r="M153" s="100"/>
      <c r="N153" s="57">
        <f>('CO2e Factors'!$F$82*'Emissions for Pavement Options'!J153*'Emissions for Pavement Options'!M153)+('CO2e Factors'!$F$83*'Emissions for Pavement Options'!M153)</f>
        <v>0</v>
      </c>
      <c r="O153" s="41">
        <f t="shared" ref="O153:O171" si="17">L153+N153</f>
        <v>0</v>
      </c>
      <c r="P153" s="155"/>
    </row>
    <row r="154" spans="3:16" ht="14.5" customHeight="1" x14ac:dyDescent="0.35">
      <c r="C154" s="145"/>
      <c r="D154" s="145"/>
      <c r="E154" s="145"/>
      <c r="F154" s="1" t="s">
        <v>204</v>
      </c>
      <c r="G154" s="98"/>
      <c r="H154" s="99"/>
      <c r="I154" s="78">
        <f>$D$152*$E$152*H154</f>
        <v>0</v>
      </c>
      <c r="J154" s="78">
        <f>I154*K154/1000</f>
        <v>0</v>
      </c>
      <c r="K154" s="81">
        <v>2100</v>
      </c>
      <c r="L154" s="57">
        <f>('CO2e Factors'!$F$7*'Emissions for Pavement Options'!I154)</f>
        <v>0</v>
      </c>
      <c r="M154" s="100"/>
      <c r="N154" s="57">
        <f>('CO2e Factors'!$F$82*'Emissions for Pavement Options'!J154*'Emissions for Pavement Options'!M154)+('CO2e Factors'!$F$83*'Emissions for Pavement Options'!M154)</f>
        <v>0</v>
      </c>
      <c r="O154" s="41">
        <f t="shared" si="17"/>
        <v>0</v>
      </c>
      <c r="P154" s="155"/>
    </row>
    <row r="155" spans="3:16" ht="14.5" customHeight="1" x14ac:dyDescent="0.35">
      <c r="C155" s="145"/>
      <c r="D155" s="145"/>
      <c r="E155" s="145"/>
      <c r="F155" s="1" t="s">
        <v>160</v>
      </c>
      <c r="G155" s="98"/>
      <c r="H155" s="99"/>
      <c r="I155" s="79"/>
      <c r="J155" s="78"/>
      <c r="K155" s="80"/>
      <c r="L155" s="57">
        <f>('CO2e Factors'!$F$8*'Emissions for Pavement Options'!J155)</f>
        <v>0</v>
      </c>
      <c r="M155" s="100"/>
      <c r="N155" s="57">
        <f>('CO2e Factors'!$F$82*'Emissions for Pavement Options'!J155*'Emissions for Pavement Options'!M155)+('CO2e Factors'!$F$83*'Emissions for Pavement Options'!M155)</f>
        <v>0</v>
      </c>
      <c r="O155" s="41">
        <f t="shared" si="17"/>
        <v>0</v>
      </c>
      <c r="P155" s="155"/>
    </row>
    <row r="156" spans="3:16" ht="14.5" customHeight="1" x14ac:dyDescent="0.35">
      <c r="C156" s="145"/>
      <c r="D156" s="145"/>
      <c r="E156" s="145"/>
      <c r="F156" s="1" t="s">
        <v>112</v>
      </c>
      <c r="G156" s="81"/>
      <c r="H156" s="99"/>
      <c r="I156" s="78">
        <f t="shared" ref="I156:I163" si="18">$D$152*$E$152*H156</f>
        <v>0</v>
      </c>
      <c r="J156" s="78">
        <f t="shared" si="16"/>
        <v>0</v>
      </c>
      <c r="K156" s="81">
        <v>2000</v>
      </c>
      <c r="L156" s="58">
        <f>(IF(G156="",0,IFERROR(VLOOKUP(G156, 'CO2e Factors'!$C$10:$F$79, 4, FALSE) * I156, "")))</f>
        <v>0</v>
      </c>
      <c r="M156" s="101"/>
      <c r="N156" s="57">
        <f>('CO2e Factors'!$F$82*'Emissions for Pavement Options'!J156*'Emissions for Pavement Options'!M156)+('CO2e Factors'!$F$83*'Emissions for Pavement Options'!M156)</f>
        <v>0</v>
      </c>
      <c r="O156" s="41">
        <f t="shared" si="17"/>
        <v>0</v>
      </c>
      <c r="P156" s="155"/>
    </row>
    <row r="157" spans="3:16" ht="14.5" customHeight="1" x14ac:dyDescent="0.35">
      <c r="C157" s="145"/>
      <c r="D157" s="145"/>
      <c r="E157" s="145"/>
      <c r="F157" s="1" t="s">
        <v>111</v>
      </c>
      <c r="G157" s="81"/>
      <c r="H157" s="99"/>
      <c r="I157" s="78">
        <f t="shared" si="18"/>
        <v>0</v>
      </c>
      <c r="J157" s="78">
        <f t="shared" si="16"/>
        <v>0</v>
      </c>
      <c r="K157" s="81">
        <v>1800</v>
      </c>
      <c r="L157" s="58">
        <f>(IF(G157="",0,IFERROR(VLOOKUP(G157, 'CO2e Factors'!$C$10:$F$79, 4, FALSE) * I157, "")))</f>
        <v>0</v>
      </c>
      <c r="M157" s="101"/>
      <c r="N157" s="57">
        <f>('CO2e Factors'!$F$82*'Emissions for Pavement Options'!J157*'Emissions for Pavement Options'!M157)+('CO2e Factors'!$F$83*'Emissions for Pavement Options'!M157)</f>
        <v>0</v>
      </c>
      <c r="O157" s="41">
        <f t="shared" si="17"/>
        <v>0</v>
      </c>
      <c r="P157" s="155"/>
    </row>
    <row r="158" spans="3:16" ht="14.5" customHeight="1" x14ac:dyDescent="0.35">
      <c r="C158" s="145"/>
      <c r="D158" s="145"/>
      <c r="E158" s="145"/>
      <c r="F158" s="1" t="s">
        <v>100</v>
      </c>
      <c r="G158" s="81"/>
      <c r="H158" s="99"/>
      <c r="I158" s="78">
        <f t="shared" si="18"/>
        <v>0</v>
      </c>
      <c r="J158" s="78">
        <f t="shared" si="16"/>
        <v>0</v>
      </c>
      <c r="K158" s="81">
        <v>1800</v>
      </c>
      <c r="L158" s="58">
        <f>(IF(G158="",0,IFERROR(VLOOKUP(G158, 'CO2e Factors'!$C$10:$F$79, 4, FALSE) * I158, "")))</f>
        <v>0</v>
      </c>
      <c r="M158" s="101"/>
      <c r="N158" s="57">
        <f>('CO2e Factors'!$F$82*'Emissions for Pavement Options'!J158*'Emissions for Pavement Options'!M158)+('CO2e Factors'!$F$83*'Emissions for Pavement Options'!M158)</f>
        <v>0</v>
      </c>
      <c r="O158" s="41">
        <f t="shared" si="17"/>
        <v>0</v>
      </c>
      <c r="P158" s="155"/>
    </row>
    <row r="159" spans="3:16" ht="14.5" customHeight="1" x14ac:dyDescent="0.35">
      <c r="C159" s="145"/>
      <c r="D159" s="145"/>
      <c r="E159" s="145"/>
      <c r="F159" s="1" t="s">
        <v>101</v>
      </c>
      <c r="G159" s="81"/>
      <c r="H159" s="99"/>
      <c r="I159" s="78">
        <f t="shared" si="18"/>
        <v>0</v>
      </c>
      <c r="J159" s="78">
        <f t="shared" si="16"/>
        <v>0</v>
      </c>
      <c r="K159" s="81">
        <v>1800</v>
      </c>
      <c r="L159" s="58">
        <f>(IF(G159="",0,IFERROR(VLOOKUP(G159, 'CO2e Factors'!$C$10:$F$79, 4, FALSE) * I159, "")))</f>
        <v>0</v>
      </c>
      <c r="M159" s="101"/>
      <c r="N159" s="57">
        <f>('CO2e Factors'!$F$82*'Emissions for Pavement Options'!J159*'Emissions for Pavement Options'!M159)+('CO2e Factors'!$F$83*'Emissions for Pavement Options'!M159)</f>
        <v>0</v>
      </c>
      <c r="O159" s="41">
        <f t="shared" si="17"/>
        <v>0</v>
      </c>
      <c r="P159" s="155"/>
    </row>
    <row r="160" spans="3:16" ht="14.5" customHeight="1" x14ac:dyDescent="0.35">
      <c r="C160" s="145"/>
      <c r="D160" s="145"/>
      <c r="E160" s="145"/>
      <c r="F160" s="1" t="s">
        <v>103</v>
      </c>
      <c r="G160" s="81"/>
      <c r="H160" s="99"/>
      <c r="I160" s="78">
        <f t="shared" si="18"/>
        <v>0</v>
      </c>
      <c r="J160" s="78">
        <f t="shared" si="16"/>
        <v>0</v>
      </c>
      <c r="K160" s="81">
        <v>1700</v>
      </c>
      <c r="L160" s="58">
        <f>(IF(G160="",0,IFERROR(VLOOKUP(G160, 'CO2e Factors'!$C$10:$F$79, 4, FALSE) * I160, "")))</f>
        <v>0</v>
      </c>
      <c r="M160" s="101"/>
      <c r="N160" s="57">
        <f>('CO2e Factors'!$F$82*'Emissions for Pavement Options'!J160*'Emissions for Pavement Options'!M160)+('CO2e Factors'!$F$83*'Emissions for Pavement Options'!M160)</f>
        <v>0</v>
      </c>
      <c r="O160" s="41">
        <f t="shared" si="17"/>
        <v>0</v>
      </c>
      <c r="P160" s="155"/>
    </row>
    <row r="161" spans="3:17" ht="14.5" customHeight="1" x14ac:dyDescent="0.35">
      <c r="C161" s="145"/>
      <c r="D161" s="145"/>
      <c r="E161" s="145"/>
      <c r="F161" s="1" t="s">
        <v>102</v>
      </c>
      <c r="G161" s="81"/>
      <c r="H161" s="99"/>
      <c r="I161" s="78">
        <f t="shared" si="18"/>
        <v>0</v>
      </c>
      <c r="J161" s="78">
        <f t="shared" si="16"/>
        <v>0</v>
      </c>
      <c r="K161" s="81">
        <v>1700</v>
      </c>
      <c r="L161" s="58">
        <f>(IF(G161="",0,IFERROR(VLOOKUP(G161, 'CO2e Factors'!$C$10:$F$79, 4, FALSE) * I161, "")))</f>
        <v>0</v>
      </c>
      <c r="M161" s="101"/>
      <c r="N161" s="57">
        <f>('CO2e Factors'!$F$82*'Emissions for Pavement Options'!J161*'Emissions for Pavement Options'!M161)+('CO2e Factors'!$F$83*'Emissions for Pavement Options'!M161)</f>
        <v>0</v>
      </c>
      <c r="O161" s="41">
        <f t="shared" si="17"/>
        <v>0</v>
      </c>
      <c r="P161" s="155"/>
    </row>
    <row r="162" spans="3:17" ht="14.5" customHeight="1" x14ac:dyDescent="0.35">
      <c r="C162" s="145"/>
      <c r="D162" s="145"/>
      <c r="E162" s="145"/>
      <c r="F162" s="1" t="s">
        <v>104</v>
      </c>
      <c r="G162" s="81"/>
      <c r="H162" s="99"/>
      <c r="I162" s="78">
        <f t="shared" si="18"/>
        <v>0</v>
      </c>
      <c r="J162" s="78">
        <f t="shared" si="16"/>
        <v>0</v>
      </c>
      <c r="K162" s="81">
        <v>2400</v>
      </c>
      <c r="L162" s="58">
        <f>(IF(G162="",0,IFERROR(VLOOKUP(G162, 'CO2e Factors'!$C$10:$F$79, 4, FALSE) * I162, "")))</f>
        <v>0</v>
      </c>
      <c r="M162" s="101"/>
      <c r="N162" s="57">
        <f>('CO2e Factors'!$F$82*'Emissions for Pavement Options'!J162*'Emissions for Pavement Options'!M162)+('CO2e Factors'!$F$83*'Emissions for Pavement Options'!M162)</f>
        <v>0</v>
      </c>
      <c r="O162" s="41">
        <f t="shared" si="17"/>
        <v>0</v>
      </c>
      <c r="P162" s="155"/>
    </row>
    <row r="163" spans="3:17" ht="14.5" customHeight="1" x14ac:dyDescent="0.35">
      <c r="C163" s="145"/>
      <c r="D163" s="145"/>
      <c r="E163" s="145"/>
      <c r="F163" s="1" t="s">
        <v>105</v>
      </c>
      <c r="G163" s="81"/>
      <c r="H163" s="99"/>
      <c r="I163" s="78">
        <f t="shared" si="18"/>
        <v>0</v>
      </c>
      <c r="J163" s="78">
        <f t="shared" si="16"/>
        <v>0</v>
      </c>
      <c r="K163" s="81">
        <v>2400</v>
      </c>
      <c r="L163" s="58">
        <f>(IF(G163="",0,IFERROR(VLOOKUP(G163, 'CO2e Factors'!$C$10:$F$79, 4, FALSE) * I163, "")))</f>
        <v>0</v>
      </c>
      <c r="M163" s="101"/>
      <c r="N163" s="57">
        <f>('CO2e Factors'!$F$82*'Emissions for Pavement Options'!J163*'Emissions for Pavement Options'!M163)+('CO2e Factors'!$F$83*'Emissions for Pavement Options'!M163)</f>
        <v>0</v>
      </c>
      <c r="O163" s="41">
        <f t="shared" si="17"/>
        <v>0</v>
      </c>
      <c r="P163" s="155"/>
      <c r="Q163" t="s">
        <v>252</v>
      </c>
    </row>
    <row r="164" spans="3:17" ht="14.5" customHeight="1" x14ac:dyDescent="0.35">
      <c r="C164" s="145"/>
      <c r="D164" s="145"/>
      <c r="E164" s="145"/>
      <c r="F164" s="1" t="s">
        <v>106</v>
      </c>
      <c r="G164" s="81"/>
      <c r="H164" s="99"/>
      <c r="I164" s="78">
        <f>$D$152*$E$152*1000</f>
        <v>300000</v>
      </c>
      <c r="J164" s="78">
        <f>I164*K164*(H164/1000)/1000</f>
        <v>0</v>
      </c>
      <c r="K164" s="81">
        <v>1800</v>
      </c>
      <c r="L164" s="58">
        <f>(IF(G164="",0,IFERROR(VLOOKUP(G164, 'CO2e Factors'!$C$10:$F$79, 4, FALSE) * I164, "")))</f>
        <v>0</v>
      </c>
      <c r="M164" s="101"/>
      <c r="N164" s="57">
        <f>('CO2e Factors'!$F$82*'Emissions for Pavement Options'!J164*'Emissions for Pavement Options'!M164)+('CO2e Factors'!$F$83*'Emissions for Pavement Options'!M164)</f>
        <v>0</v>
      </c>
      <c r="O164" s="41">
        <f t="shared" si="17"/>
        <v>0</v>
      </c>
      <c r="P164" s="155"/>
    </row>
    <row r="165" spans="3:17" ht="14.5" customHeight="1" x14ac:dyDescent="0.35">
      <c r="C165" s="145"/>
      <c r="D165" s="145"/>
      <c r="E165" s="145"/>
      <c r="F165" s="1" t="s">
        <v>184</v>
      </c>
      <c r="G165" s="81"/>
      <c r="H165" s="99"/>
      <c r="I165" s="78">
        <f>$D$152*$E$152*H165</f>
        <v>0</v>
      </c>
      <c r="J165" s="78">
        <f>I165*K165/1000</f>
        <v>0</v>
      </c>
      <c r="K165" s="81">
        <v>2400</v>
      </c>
      <c r="L165" s="58">
        <f>(IF(G165="",0,IFERROR(VLOOKUP(G165, 'CO2e Factors'!$C$10:$F$79, 4, FALSE) * I165, "")))</f>
        <v>0</v>
      </c>
      <c r="M165" s="101"/>
      <c r="N165" s="57">
        <f>('CO2e Factors'!$F$82*'Emissions for Pavement Options'!J165*'Emissions for Pavement Options'!M165)+('CO2e Factors'!$F$83*'Emissions for Pavement Options'!M165)</f>
        <v>0</v>
      </c>
      <c r="O165" s="41">
        <f t="shared" si="17"/>
        <v>0</v>
      </c>
      <c r="P165" s="155"/>
    </row>
    <row r="166" spans="3:17" ht="14.5" customHeight="1" x14ac:dyDescent="0.35">
      <c r="C166" s="145"/>
      <c r="D166" s="145"/>
      <c r="E166" s="145"/>
      <c r="F166" s="1" t="s">
        <v>185</v>
      </c>
      <c r="G166" s="81"/>
      <c r="H166" s="99"/>
      <c r="I166" s="78">
        <f>$D$152*$E$152*1000</f>
        <v>300000</v>
      </c>
      <c r="J166" s="78">
        <f>I166*K166*(H166/1000)/1000</f>
        <v>0</v>
      </c>
      <c r="K166" s="81">
        <v>1800</v>
      </c>
      <c r="L166" s="58">
        <f>(IF(G166="",0,IFERROR(VLOOKUP(G166, 'CO2e Factors'!$C$10:$F$79, 4, FALSE) * I166, "")))</f>
        <v>0</v>
      </c>
      <c r="M166" s="101"/>
      <c r="N166" s="57">
        <f>('CO2e Factors'!$F$82*'Emissions for Pavement Options'!J166*'Emissions for Pavement Options'!M166)+('CO2e Factors'!$F$83*'Emissions for Pavement Options'!M166)</f>
        <v>0</v>
      </c>
      <c r="O166" s="41">
        <f t="shared" si="17"/>
        <v>0</v>
      </c>
      <c r="P166" s="155"/>
    </row>
    <row r="167" spans="3:17" ht="14.5" customHeight="1" x14ac:dyDescent="0.35">
      <c r="C167" s="145"/>
      <c r="D167" s="145"/>
      <c r="E167" s="145"/>
      <c r="F167" s="1" t="s">
        <v>188</v>
      </c>
      <c r="G167" s="81"/>
      <c r="H167" s="99"/>
      <c r="I167" s="78">
        <f>$D$152*$E$152</f>
        <v>300</v>
      </c>
      <c r="J167" s="78">
        <f t="shared" si="16"/>
        <v>300</v>
      </c>
      <c r="K167" s="81">
        <v>1000</v>
      </c>
      <c r="L167" s="58">
        <f>(IF(G167="",0,IFERROR(VLOOKUP(G167, 'CO2e Factors'!$C$10:$F$79, 4, FALSE) * I167, "")))*1000</f>
        <v>0</v>
      </c>
      <c r="M167" s="101"/>
      <c r="N167" s="57">
        <f>('CO2e Factors'!$F$82*'Emissions for Pavement Options'!J167*'Emissions for Pavement Options'!M167)+('CO2e Factors'!$F$83*'Emissions for Pavement Options'!M167)</f>
        <v>0</v>
      </c>
      <c r="O167" s="41">
        <f t="shared" si="17"/>
        <v>0</v>
      </c>
      <c r="P167" s="155"/>
    </row>
    <row r="168" spans="3:17" ht="14.5" customHeight="1" x14ac:dyDescent="0.35">
      <c r="C168" s="145"/>
      <c r="D168" s="145"/>
      <c r="E168" s="145"/>
      <c r="F168" s="1" t="s">
        <v>189</v>
      </c>
      <c r="G168" s="81"/>
      <c r="H168" s="99"/>
      <c r="I168" s="78">
        <f>$D$152*$E$152</f>
        <v>300</v>
      </c>
      <c r="J168" s="78">
        <f t="shared" si="16"/>
        <v>300</v>
      </c>
      <c r="K168" s="81">
        <v>1000</v>
      </c>
      <c r="L168" s="58">
        <f>(IF(G168="",0,IFERROR(VLOOKUP(G168, 'CO2e Factors'!$C$10:$F$79, 4, FALSE) * I168, "")))*1000</f>
        <v>0</v>
      </c>
      <c r="M168" s="101"/>
      <c r="N168" s="57">
        <f>('CO2e Factors'!$F$82*'Emissions for Pavement Options'!J168*'Emissions for Pavement Options'!M168)+('CO2e Factors'!$F$83*'Emissions for Pavement Options'!M168)</f>
        <v>0</v>
      </c>
      <c r="O168" s="41">
        <f t="shared" si="17"/>
        <v>0</v>
      </c>
      <c r="P168" s="155"/>
    </row>
    <row r="169" spans="3:17" ht="14.5" customHeight="1" x14ac:dyDescent="0.35">
      <c r="C169" s="145"/>
      <c r="D169" s="145"/>
      <c r="E169" s="145"/>
      <c r="F169" s="1" t="s">
        <v>195</v>
      </c>
      <c r="G169" s="81"/>
      <c r="H169" s="99"/>
      <c r="I169" s="78">
        <f>$D$152*$E$152</f>
        <v>300</v>
      </c>
      <c r="J169" s="78">
        <f t="shared" si="16"/>
        <v>300</v>
      </c>
      <c r="K169" s="81">
        <v>1000</v>
      </c>
      <c r="L169" s="58">
        <f>(IF(G169="",0,IFERROR(VLOOKUP(G169, 'CO2e Factors'!$C$10:$F$79, 4, FALSE) * I169, "")))*1000</f>
        <v>0</v>
      </c>
      <c r="M169" s="101"/>
      <c r="N169" s="57">
        <f>('CO2e Factors'!$F$82*'Emissions for Pavement Options'!J169*'Emissions for Pavement Options'!M169)+('CO2e Factors'!$F$83*'Emissions for Pavement Options'!M169)</f>
        <v>0</v>
      </c>
      <c r="O169" s="41">
        <f t="shared" si="17"/>
        <v>0</v>
      </c>
      <c r="P169" s="155"/>
    </row>
    <row r="170" spans="3:17" ht="14.5" customHeight="1" x14ac:dyDescent="0.35">
      <c r="C170" s="145"/>
      <c r="D170" s="145"/>
      <c r="E170" s="145"/>
      <c r="F170" s="1" t="s">
        <v>186</v>
      </c>
      <c r="G170" s="81"/>
      <c r="H170" s="99"/>
      <c r="I170" s="78">
        <f>$D$152*$E$152*H170</f>
        <v>0</v>
      </c>
      <c r="J170" s="78">
        <f t="shared" si="16"/>
        <v>0</v>
      </c>
      <c r="K170" s="81">
        <v>2400</v>
      </c>
      <c r="L170" s="58">
        <f>(IF(G170="",0,IFERROR(VLOOKUP(G170, 'CO2e Factors'!$C$10:$F$79, 4, FALSE) * I170, "")))</f>
        <v>0</v>
      </c>
      <c r="M170" s="101"/>
      <c r="N170" s="57">
        <f>('CO2e Factors'!$F$82*'Emissions for Pavement Options'!J170*'Emissions for Pavement Options'!M170)+('CO2e Factors'!$F$83*'Emissions for Pavement Options'!M170)</f>
        <v>0</v>
      </c>
      <c r="O170" s="41">
        <f t="shared" si="17"/>
        <v>0</v>
      </c>
      <c r="P170" s="155"/>
    </row>
    <row r="171" spans="3:17" ht="14.5" customHeight="1" x14ac:dyDescent="0.35">
      <c r="C171" s="146"/>
      <c r="D171" s="146"/>
      <c r="E171" s="146"/>
      <c r="F171" s="1" t="s">
        <v>187</v>
      </c>
      <c r="G171" s="81"/>
      <c r="H171" s="99"/>
      <c r="I171" s="78"/>
      <c r="J171" s="78"/>
      <c r="K171" s="81">
        <v>7750</v>
      </c>
      <c r="L171" s="58">
        <f>(IF(G171="",0,IFERROR(VLOOKUP(G171, 'CO2e Factors'!$C$10:$F$79, 4, FALSE) * J171, "")))</f>
        <v>0</v>
      </c>
      <c r="M171" s="101"/>
      <c r="N171" s="57">
        <f>('CO2e Factors'!$F$82*'Emissions for Pavement Options'!J171*'Emissions for Pavement Options'!M171)+('CO2e Factors'!$F$83*'Emissions for Pavement Options'!M171)</f>
        <v>0</v>
      </c>
      <c r="O171" s="41">
        <f t="shared" si="17"/>
        <v>0</v>
      </c>
      <c r="P171" s="156"/>
    </row>
    <row r="172" spans="3:17" ht="14.5" customHeight="1" x14ac:dyDescent="0.35">
      <c r="C172" s="144">
        <v>3</v>
      </c>
      <c r="D172" s="144">
        <v>40</v>
      </c>
      <c r="E172" s="144">
        <v>10</v>
      </c>
      <c r="F172" s="1" t="s">
        <v>159</v>
      </c>
      <c r="G172" s="98"/>
      <c r="H172" s="99"/>
      <c r="I172" s="78"/>
      <c r="J172" s="79"/>
      <c r="K172" s="80"/>
      <c r="L172" s="57">
        <f>('CO2e Factors'!$F$5*'Emissions for Pavement Options'!I172)</f>
        <v>0</v>
      </c>
      <c r="M172" s="100"/>
      <c r="N172" s="57">
        <f>('CO2e Factors'!$F$82*'Emissions for Pavement Options'!J172*'Emissions for Pavement Options'!M172)+('CO2e Factors'!$F$83*'Emissions for Pavement Options'!M172)</f>
        <v>0</v>
      </c>
      <c r="O172" s="41">
        <f>L172+N172</f>
        <v>0</v>
      </c>
      <c r="P172" s="154">
        <f>SUM(O172:O191)</f>
        <v>0</v>
      </c>
    </row>
    <row r="173" spans="3:17" ht="14.5" customHeight="1" x14ac:dyDescent="0.35">
      <c r="C173" s="145"/>
      <c r="D173" s="145"/>
      <c r="E173" s="145"/>
      <c r="F173" s="1" t="s">
        <v>68</v>
      </c>
      <c r="G173" s="98"/>
      <c r="H173" s="99"/>
      <c r="I173" s="78">
        <f>$D$172*$E$172*H173</f>
        <v>0</v>
      </c>
      <c r="J173" s="79"/>
      <c r="K173" s="81">
        <v>2100</v>
      </c>
      <c r="L173" s="57">
        <f>('CO2e Factors'!$F$6*'Emissions for Pavement Options'!I173)</f>
        <v>0</v>
      </c>
      <c r="M173" s="100"/>
      <c r="N173" s="57">
        <f>('CO2e Factors'!$F$82*'Emissions for Pavement Options'!J173*'Emissions for Pavement Options'!M173)+('CO2e Factors'!$F$83*'Emissions for Pavement Options'!M173)</f>
        <v>0</v>
      </c>
      <c r="O173" s="41">
        <f t="shared" ref="O173:O191" si="19">L173+N173</f>
        <v>0</v>
      </c>
      <c r="P173" s="155"/>
    </row>
    <row r="174" spans="3:17" ht="14.5" customHeight="1" x14ac:dyDescent="0.35">
      <c r="C174" s="145"/>
      <c r="D174" s="145"/>
      <c r="E174" s="145"/>
      <c r="F174" s="1" t="s">
        <v>204</v>
      </c>
      <c r="G174" s="98"/>
      <c r="H174" s="99"/>
      <c r="I174" s="78">
        <f>$D$172*$E$172*H174</f>
        <v>0</v>
      </c>
      <c r="J174" s="78">
        <f>I174*K174/1000</f>
        <v>0</v>
      </c>
      <c r="K174" s="81">
        <v>2100</v>
      </c>
      <c r="L174" s="57">
        <f>('CO2e Factors'!$F$7*'Emissions for Pavement Options'!I174)</f>
        <v>0</v>
      </c>
      <c r="M174" s="100"/>
      <c r="N174" s="57">
        <f>('CO2e Factors'!$F$82*'Emissions for Pavement Options'!J174*'Emissions for Pavement Options'!M174)+('CO2e Factors'!$F$83*'Emissions for Pavement Options'!M174)</f>
        <v>0</v>
      </c>
      <c r="O174" s="41">
        <f t="shared" si="19"/>
        <v>0</v>
      </c>
      <c r="P174" s="155"/>
    </row>
    <row r="175" spans="3:17" ht="14.5" customHeight="1" x14ac:dyDescent="0.35">
      <c r="C175" s="145"/>
      <c r="D175" s="145"/>
      <c r="E175" s="145"/>
      <c r="F175" s="1" t="s">
        <v>160</v>
      </c>
      <c r="G175" s="98"/>
      <c r="H175" s="99"/>
      <c r="I175" s="79"/>
      <c r="J175" s="78"/>
      <c r="K175" s="80"/>
      <c r="L175" s="57">
        <f>('CO2e Factors'!$F$8*'Emissions for Pavement Options'!J175)</f>
        <v>0</v>
      </c>
      <c r="M175" s="100"/>
      <c r="N175" s="57">
        <f>('CO2e Factors'!$F$82*'Emissions for Pavement Options'!J175*'Emissions for Pavement Options'!M175)+('CO2e Factors'!$F$83*'Emissions for Pavement Options'!M175)</f>
        <v>0</v>
      </c>
      <c r="O175" s="41">
        <f t="shared" si="19"/>
        <v>0</v>
      </c>
      <c r="P175" s="155"/>
    </row>
    <row r="176" spans="3:17" ht="14.5" customHeight="1" x14ac:dyDescent="0.35">
      <c r="C176" s="145"/>
      <c r="D176" s="145"/>
      <c r="E176" s="145"/>
      <c r="F176" s="1" t="s">
        <v>112</v>
      </c>
      <c r="G176" s="81"/>
      <c r="H176" s="99"/>
      <c r="I176" s="78">
        <f t="shared" ref="I176:I185" si="20">$D$172*$E$172*H176</f>
        <v>0</v>
      </c>
      <c r="J176" s="78">
        <f t="shared" si="16"/>
        <v>0</v>
      </c>
      <c r="K176" s="81">
        <v>2000</v>
      </c>
      <c r="L176" s="58">
        <f>(IF(G176="",0,IFERROR(VLOOKUP(G176, 'CO2e Factors'!$C$10:$F$79, 4, FALSE) * I176, "")))</f>
        <v>0</v>
      </c>
      <c r="M176" s="101"/>
      <c r="N176" s="57">
        <f>('CO2e Factors'!$F$82*'Emissions for Pavement Options'!J176*'Emissions for Pavement Options'!M176)+('CO2e Factors'!$F$83*'Emissions for Pavement Options'!M176)</f>
        <v>0</v>
      </c>
      <c r="O176" s="41">
        <f t="shared" si="19"/>
        <v>0</v>
      </c>
      <c r="P176" s="155"/>
    </row>
    <row r="177" spans="3:17" ht="14.5" customHeight="1" x14ac:dyDescent="0.35">
      <c r="C177" s="145"/>
      <c r="D177" s="145"/>
      <c r="E177" s="145"/>
      <c r="F177" s="1" t="s">
        <v>111</v>
      </c>
      <c r="G177" s="81"/>
      <c r="H177" s="99"/>
      <c r="I177" s="78">
        <f t="shared" si="20"/>
        <v>0</v>
      </c>
      <c r="J177" s="78">
        <f t="shared" si="16"/>
        <v>0</v>
      </c>
      <c r="K177" s="81">
        <v>1800</v>
      </c>
      <c r="L177" s="58">
        <f>(IF(G177="",0,IFERROR(VLOOKUP(G177, 'CO2e Factors'!$C$10:$F$79, 4, FALSE) * I177, "")))</f>
        <v>0</v>
      </c>
      <c r="M177" s="101"/>
      <c r="N177" s="57">
        <f>('CO2e Factors'!$F$82*'Emissions for Pavement Options'!J177*'Emissions for Pavement Options'!M177)+('CO2e Factors'!$F$83*'Emissions for Pavement Options'!M177)</f>
        <v>0</v>
      </c>
      <c r="O177" s="41">
        <f t="shared" si="19"/>
        <v>0</v>
      </c>
      <c r="P177" s="155"/>
    </row>
    <row r="178" spans="3:17" ht="14.5" customHeight="1" x14ac:dyDescent="0.35">
      <c r="C178" s="145"/>
      <c r="D178" s="145"/>
      <c r="E178" s="145"/>
      <c r="F178" s="1" t="s">
        <v>100</v>
      </c>
      <c r="G178" s="81"/>
      <c r="H178" s="99"/>
      <c r="I178" s="78">
        <f t="shared" si="20"/>
        <v>0</v>
      </c>
      <c r="J178" s="78">
        <f t="shared" si="16"/>
        <v>0</v>
      </c>
      <c r="K178" s="81">
        <v>1800</v>
      </c>
      <c r="L178" s="58">
        <f>(IF(G178="",0,IFERROR(VLOOKUP(G178, 'CO2e Factors'!$C$10:$F$79, 4, FALSE) * I178, "")))</f>
        <v>0</v>
      </c>
      <c r="M178" s="101"/>
      <c r="N178" s="57">
        <f>('CO2e Factors'!$F$82*'Emissions for Pavement Options'!J178*'Emissions for Pavement Options'!M178)+('CO2e Factors'!$F$83*'Emissions for Pavement Options'!M178)</f>
        <v>0</v>
      </c>
      <c r="O178" s="41">
        <f t="shared" si="19"/>
        <v>0</v>
      </c>
      <c r="P178" s="155"/>
    </row>
    <row r="179" spans="3:17" ht="14.5" customHeight="1" x14ac:dyDescent="0.35">
      <c r="C179" s="145"/>
      <c r="D179" s="145"/>
      <c r="E179" s="145"/>
      <c r="F179" s="1" t="s">
        <v>101</v>
      </c>
      <c r="G179" s="81"/>
      <c r="H179" s="99"/>
      <c r="I179" s="78">
        <f t="shared" si="20"/>
        <v>0</v>
      </c>
      <c r="J179" s="78">
        <f t="shared" si="16"/>
        <v>0</v>
      </c>
      <c r="K179" s="81">
        <v>1800</v>
      </c>
      <c r="L179" s="58">
        <f>(IF(G179="",0,IFERROR(VLOOKUP(G179, 'CO2e Factors'!$C$10:$F$79, 4, FALSE) * I179, "")))</f>
        <v>0</v>
      </c>
      <c r="M179" s="101"/>
      <c r="N179" s="57">
        <f>('CO2e Factors'!$F$82*'Emissions for Pavement Options'!J179*'Emissions for Pavement Options'!M179)+('CO2e Factors'!$F$83*'Emissions for Pavement Options'!M179)</f>
        <v>0</v>
      </c>
      <c r="O179" s="41">
        <f t="shared" si="19"/>
        <v>0</v>
      </c>
      <c r="P179" s="155"/>
    </row>
    <row r="180" spans="3:17" ht="14.5" customHeight="1" x14ac:dyDescent="0.35">
      <c r="C180" s="145"/>
      <c r="D180" s="145"/>
      <c r="E180" s="145"/>
      <c r="F180" s="1" t="s">
        <v>103</v>
      </c>
      <c r="G180" s="81"/>
      <c r="H180" s="99"/>
      <c r="I180" s="78">
        <f t="shared" si="20"/>
        <v>0</v>
      </c>
      <c r="J180" s="78">
        <f t="shared" si="16"/>
        <v>0</v>
      </c>
      <c r="K180" s="81">
        <v>1700</v>
      </c>
      <c r="L180" s="58">
        <f>(IF(G180="",0,IFERROR(VLOOKUP(G180, 'CO2e Factors'!$C$10:$F$79, 4, FALSE) * I180, "")))</f>
        <v>0</v>
      </c>
      <c r="M180" s="101"/>
      <c r="N180" s="57">
        <f>('CO2e Factors'!$F$82*'Emissions for Pavement Options'!J180*'Emissions for Pavement Options'!M180)+('CO2e Factors'!$F$83*'Emissions for Pavement Options'!M180)</f>
        <v>0</v>
      </c>
      <c r="O180" s="41">
        <f t="shared" si="19"/>
        <v>0</v>
      </c>
      <c r="P180" s="155"/>
    </row>
    <row r="181" spans="3:17" ht="14.5" customHeight="1" x14ac:dyDescent="0.35">
      <c r="C181" s="145"/>
      <c r="D181" s="145"/>
      <c r="E181" s="145"/>
      <c r="F181" s="1" t="s">
        <v>102</v>
      </c>
      <c r="G181" s="81"/>
      <c r="H181" s="99"/>
      <c r="I181" s="78">
        <f t="shared" si="20"/>
        <v>0</v>
      </c>
      <c r="J181" s="78">
        <f t="shared" si="16"/>
        <v>0</v>
      </c>
      <c r="K181" s="81">
        <v>1700</v>
      </c>
      <c r="L181" s="58">
        <f>(IF(G181="",0,IFERROR(VLOOKUP(G181, 'CO2e Factors'!$C$10:$F$79, 4, FALSE) * I181, "")))</f>
        <v>0</v>
      </c>
      <c r="M181" s="101"/>
      <c r="N181" s="57">
        <f>('CO2e Factors'!$F$82*'Emissions for Pavement Options'!J181*'Emissions for Pavement Options'!M181)+('CO2e Factors'!$F$83*'Emissions for Pavement Options'!M181)</f>
        <v>0</v>
      </c>
      <c r="O181" s="41">
        <f t="shared" si="19"/>
        <v>0</v>
      </c>
      <c r="P181" s="155"/>
    </row>
    <row r="182" spans="3:17" ht="14.5" customHeight="1" x14ac:dyDescent="0.35">
      <c r="C182" s="145"/>
      <c r="D182" s="145"/>
      <c r="E182" s="145"/>
      <c r="F182" s="1" t="s">
        <v>104</v>
      </c>
      <c r="G182" s="81"/>
      <c r="H182" s="99"/>
      <c r="I182" s="78">
        <f t="shared" si="20"/>
        <v>0</v>
      </c>
      <c r="J182" s="78">
        <f t="shared" si="16"/>
        <v>0</v>
      </c>
      <c r="K182" s="81">
        <v>2400</v>
      </c>
      <c r="L182" s="58">
        <f>(IF(G182="",0,IFERROR(VLOOKUP(G182, 'CO2e Factors'!$C$10:$F$79, 4, FALSE) * I182, "")))</f>
        <v>0</v>
      </c>
      <c r="M182" s="101"/>
      <c r="N182" s="57">
        <f>('CO2e Factors'!$F$82*'Emissions for Pavement Options'!J182*'Emissions for Pavement Options'!M182)+('CO2e Factors'!$F$83*'Emissions for Pavement Options'!M182)</f>
        <v>0</v>
      </c>
      <c r="O182" s="41">
        <f t="shared" si="19"/>
        <v>0</v>
      </c>
      <c r="P182" s="155"/>
    </row>
    <row r="183" spans="3:17" ht="14.5" customHeight="1" x14ac:dyDescent="0.35">
      <c r="C183" s="145"/>
      <c r="D183" s="145"/>
      <c r="E183" s="145"/>
      <c r="F183" s="1" t="s">
        <v>105</v>
      </c>
      <c r="G183" s="81"/>
      <c r="H183" s="99"/>
      <c r="I183" s="78">
        <f t="shared" si="20"/>
        <v>0</v>
      </c>
      <c r="J183" s="78">
        <f t="shared" si="16"/>
        <v>0</v>
      </c>
      <c r="K183" s="81">
        <v>2400</v>
      </c>
      <c r="L183" s="58">
        <f>(IF(G183="",0,IFERROR(VLOOKUP(G183, 'CO2e Factors'!$C$10:$F$79, 4, FALSE) * I183, "")))</f>
        <v>0</v>
      </c>
      <c r="M183" s="101"/>
      <c r="N183" s="57">
        <f>('CO2e Factors'!$F$82*'Emissions for Pavement Options'!J183*'Emissions for Pavement Options'!M183)+('CO2e Factors'!$F$83*'Emissions for Pavement Options'!M183)</f>
        <v>0</v>
      </c>
      <c r="O183" s="41">
        <f t="shared" si="19"/>
        <v>0</v>
      </c>
      <c r="P183" s="155"/>
      <c r="Q183" t="s">
        <v>252</v>
      </c>
    </row>
    <row r="184" spans="3:17" ht="14.5" customHeight="1" x14ac:dyDescent="0.35">
      <c r="C184" s="145"/>
      <c r="D184" s="145"/>
      <c r="E184" s="145"/>
      <c r="F184" s="1" t="s">
        <v>106</v>
      </c>
      <c r="G184" s="81"/>
      <c r="H184" s="99"/>
      <c r="I184" s="78">
        <f>$D$172*$E$172*1000</f>
        <v>400000</v>
      </c>
      <c r="J184" s="78">
        <f>I184*K184*(H184/1000)/1000</f>
        <v>0</v>
      </c>
      <c r="K184" s="81">
        <v>1800</v>
      </c>
      <c r="L184" s="58">
        <f>(IF(G184="",0,IFERROR(VLOOKUP(G184, 'CO2e Factors'!$C$10:$F$79, 4, FALSE) * I184, "")))</f>
        <v>0</v>
      </c>
      <c r="M184" s="101"/>
      <c r="N184" s="57">
        <f>('CO2e Factors'!$F$82*'Emissions for Pavement Options'!J184*'Emissions for Pavement Options'!M184)+('CO2e Factors'!$F$83*'Emissions for Pavement Options'!M184)</f>
        <v>0</v>
      </c>
      <c r="O184" s="41">
        <f t="shared" si="19"/>
        <v>0</v>
      </c>
      <c r="P184" s="155"/>
    </row>
    <row r="185" spans="3:17" ht="14.5" customHeight="1" x14ac:dyDescent="0.35">
      <c r="C185" s="145"/>
      <c r="D185" s="145"/>
      <c r="E185" s="145"/>
      <c r="F185" s="1" t="s">
        <v>184</v>
      </c>
      <c r="G185" s="81"/>
      <c r="H185" s="99"/>
      <c r="I185" s="78">
        <f t="shared" si="20"/>
        <v>0</v>
      </c>
      <c r="J185" s="78">
        <f>I185*K185/1000</f>
        <v>0</v>
      </c>
      <c r="K185" s="81">
        <v>2400</v>
      </c>
      <c r="L185" s="58">
        <f>(IF(G185="",0,IFERROR(VLOOKUP(G185, 'CO2e Factors'!$C$10:$F$79, 4, FALSE) * I185, "")))</f>
        <v>0</v>
      </c>
      <c r="M185" s="101"/>
      <c r="N185" s="57">
        <f>('CO2e Factors'!$F$82*'Emissions for Pavement Options'!J185*'Emissions for Pavement Options'!M185)+('CO2e Factors'!$F$83*'Emissions for Pavement Options'!M185)</f>
        <v>0</v>
      </c>
      <c r="O185" s="41">
        <f t="shared" si="19"/>
        <v>0</v>
      </c>
      <c r="P185" s="155"/>
    </row>
    <row r="186" spans="3:17" ht="14.5" customHeight="1" x14ac:dyDescent="0.35">
      <c r="C186" s="145"/>
      <c r="D186" s="145"/>
      <c r="E186" s="145"/>
      <c r="F186" s="1" t="s">
        <v>185</v>
      </c>
      <c r="G186" s="81"/>
      <c r="H186" s="99"/>
      <c r="I186" s="78">
        <f>$D$172*$E$172*1000</f>
        <v>400000</v>
      </c>
      <c r="J186" s="78">
        <f>I186*K186*(H186/1000)/1000</f>
        <v>0</v>
      </c>
      <c r="K186" s="81">
        <v>1800</v>
      </c>
      <c r="L186" s="58">
        <f>(IF(G186="",0,IFERROR(VLOOKUP(G186, 'CO2e Factors'!$C$10:$F$79, 4, FALSE) * I186, "")))</f>
        <v>0</v>
      </c>
      <c r="M186" s="101"/>
      <c r="N186" s="57">
        <f>('CO2e Factors'!$F$82*'Emissions for Pavement Options'!J186*'Emissions for Pavement Options'!M186)+('CO2e Factors'!$F$83*'Emissions for Pavement Options'!M186)</f>
        <v>0</v>
      </c>
      <c r="O186" s="41">
        <f t="shared" si="19"/>
        <v>0</v>
      </c>
      <c r="P186" s="155"/>
    </row>
    <row r="187" spans="3:17" ht="14.5" customHeight="1" x14ac:dyDescent="0.35">
      <c r="C187" s="145"/>
      <c r="D187" s="145"/>
      <c r="E187" s="145"/>
      <c r="F187" s="1" t="s">
        <v>188</v>
      </c>
      <c r="G187" s="81"/>
      <c r="H187" s="99"/>
      <c r="I187" s="78">
        <f>$D$172*$E$172</f>
        <v>400</v>
      </c>
      <c r="J187" s="78">
        <f t="shared" si="16"/>
        <v>400</v>
      </c>
      <c r="K187" s="81">
        <v>1000</v>
      </c>
      <c r="L187" s="58">
        <f>(IF(G187="",0,IFERROR(VLOOKUP(G187, 'CO2e Factors'!$C$10:$F$79, 4, FALSE) * I187, "")))*1000</f>
        <v>0</v>
      </c>
      <c r="M187" s="101"/>
      <c r="N187" s="57">
        <f>('CO2e Factors'!$F$82*'Emissions for Pavement Options'!J187*'Emissions for Pavement Options'!M187)+('CO2e Factors'!$F$83*'Emissions for Pavement Options'!M187)</f>
        <v>0</v>
      </c>
      <c r="O187" s="41">
        <f t="shared" si="19"/>
        <v>0</v>
      </c>
      <c r="P187" s="155"/>
    </row>
    <row r="188" spans="3:17" ht="14.5" customHeight="1" x14ac:dyDescent="0.35">
      <c r="C188" s="145"/>
      <c r="D188" s="145"/>
      <c r="E188" s="145"/>
      <c r="F188" s="1" t="s">
        <v>189</v>
      </c>
      <c r="G188" s="81"/>
      <c r="H188" s="99"/>
      <c r="I188" s="78">
        <f>$D$172*$E$172</f>
        <v>400</v>
      </c>
      <c r="J188" s="78">
        <f t="shared" si="16"/>
        <v>400</v>
      </c>
      <c r="K188" s="81">
        <v>1000</v>
      </c>
      <c r="L188" s="58">
        <f>(IF(G188="",0,IFERROR(VLOOKUP(G188, 'CO2e Factors'!$C$10:$F$79, 4, FALSE) * I188, "")))*1000</f>
        <v>0</v>
      </c>
      <c r="M188" s="101"/>
      <c r="N188" s="57">
        <f>('CO2e Factors'!$F$82*'Emissions for Pavement Options'!J188*'Emissions for Pavement Options'!M188)+('CO2e Factors'!$F$83*'Emissions for Pavement Options'!M188)</f>
        <v>0</v>
      </c>
      <c r="O188" s="41">
        <f t="shared" si="19"/>
        <v>0</v>
      </c>
      <c r="P188" s="155"/>
    </row>
    <row r="189" spans="3:17" ht="14.5" customHeight="1" x14ac:dyDescent="0.35">
      <c r="C189" s="145"/>
      <c r="D189" s="145"/>
      <c r="E189" s="145"/>
      <c r="F189" s="1" t="s">
        <v>195</v>
      </c>
      <c r="G189" s="81"/>
      <c r="H189" s="99"/>
      <c r="I189" s="78">
        <f>$D$172*$E$172</f>
        <v>400</v>
      </c>
      <c r="J189" s="78">
        <f t="shared" si="16"/>
        <v>400</v>
      </c>
      <c r="K189" s="81">
        <v>1000</v>
      </c>
      <c r="L189" s="58">
        <f>(IF(G189="",0,IFERROR(VLOOKUP(G189, 'CO2e Factors'!$C$10:$F$79, 4, FALSE) * I189, "")))*1000</f>
        <v>0</v>
      </c>
      <c r="M189" s="101"/>
      <c r="N189" s="57">
        <f>('CO2e Factors'!$F$82*'Emissions for Pavement Options'!J189*'Emissions for Pavement Options'!M189)+('CO2e Factors'!$F$83*'Emissions for Pavement Options'!M189)</f>
        <v>0</v>
      </c>
      <c r="O189" s="41">
        <f t="shared" si="19"/>
        <v>0</v>
      </c>
      <c r="P189" s="155"/>
    </row>
    <row r="190" spans="3:17" ht="14.5" customHeight="1" x14ac:dyDescent="0.35">
      <c r="C190" s="145"/>
      <c r="D190" s="145"/>
      <c r="E190" s="145"/>
      <c r="F190" s="1" t="s">
        <v>186</v>
      </c>
      <c r="G190" s="81"/>
      <c r="H190" s="99"/>
      <c r="I190" s="78">
        <f>$D$172*$E$172*H190</f>
        <v>0</v>
      </c>
      <c r="J190" s="78">
        <f t="shared" si="16"/>
        <v>0</v>
      </c>
      <c r="K190" s="81">
        <v>2400</v>
      </c>
      <c r="L190" s="58">
        <f>(IF(G190="",0,IFERROR(VLOOKUP(G190, 'CO2e Factors'!$C$10:$F$79, 4, FALSE) * I190, "")))</f>
        <v>0</v>
      </c>
      <c r="M190" s="101"/>
      <c r="N190" s="57">
        <f>('CO2e Factors'!$F$82*'Emissions for Pavement Options'!J190*'Emissions for Pavement Options'!M190)+('CO2e Factors'!$F$83*'Emissions for Pavement Options'!M190)</f>
        <v>0</v>
      </c>
      <c r="O190" s="41">
        <f t="shared" si="19"/>
        <v>0</v>
      </c>
      <c r="P190" s="155"/>
    </row>
    <row r="191" spans="3:17" ht="14.5" customHeight="1" x14ac:dyDescent="0.35">
      <c r="C191" s="146"/>
      <c r="D191" s="146"/>
      <c r="E191" s="146"/>
      <c r="F191" s="1" t="s">
        <v>187</v>
      </c>
      <c r="G191" s="81"/>
      <c r="H191" s="99"/>
      <c r="I191" s="78"/>
      <c r="J191" s="78"/>
      <c r="K191" s="81">
        <v>7750</v>
      </c>
      <c r="L191" s="58">
        <f>(IF(G191="",0,IFERROR(VLOOKUP(G191, 'CO2e Factors'!$C$10:$F$79, 4, FALSE) * J191, "")))</f>
        <v>0</v>
      </c>
      <c r="M191" s="101"/>
      <c r="N191" s="57">
        <f>('CO2e Factors'!$F$82*'Emissions for Pavement Options'!J191*'Emissions for Pavement Options'!M191)+('CO2e Factors'!$F$83*'Emissions for Pavement Options'!M191)</f>
        <v>0</v>
      </c>
      <c r="O191" s="41">
        <f t="shared" si="19"/>
        <v>0</v>
      </c>
      <c r="P191" s="156"/>
    </row>
    <row r="192" spans="3:17" ht="21" x14ac:dyDescent="0.5">
      <c r="C192" s="151" t="s">
        <v>163</v>
      </c>
      <c r="D192" s="152"/>
      <c r="E192" s="152"/>
      <c r="F192" s="152"/>
      <c r="G192" s="152"/>
      <c r="H192" s="152"/>
      <c r="I192" s="152"/>
      <c r="J192" s="152"/>
      <c r="K192" s="152"/>
      <c r="L192" s="152"/>
      <c r="M192" s="152"/>
      <c r="N192" s="152"/>
      <c r="O192" s="153"/>
      <c r="P192" s="59">
        <f>P132+P152+P172</f>
        <v>0</v>
      </c>
    </row>
    <row r="194" spans="3:17" x14ac:dyDescent="0.35">
      <c r="C194" s="11" t="s">
        <v>129</v>
      </c>
    </row>
    <row r="195" spans="3:17" ht="49.5" customHeight="1" x14ac:dyDescent="0.35">
      <c r="C195" s="6" t="s">
        <v>109</v>
      </c>
      <c r="D195" s="10" t="s">
        <v>114</v>
      </c>
      <c r="E195" s="10" t="s">
        <v>108</v>
      </c>
      <c r="F195" s="6" t="s">
        <v>13</v>
      </c>
      <c r="G195" s="6" t="s">
        <v>69</v>
      </c>
      <c r="H195" s="10" t="s">
        <v>107</v>
      </c>
      <c r="I195" s="10" t="s">
        <v>110</v>
      </c>
      <c r="J195" s="10" t="s">
        <v>113</v>
      </c>
      <c r="K195" s="10" t="s">
        <v>249</v>
      </c>
      <c r="L195" s="10" t="s">
        <v>294</v>
      </c>
      <c r="M195" s="10" t="s">
        <v>248</v>
      </c>
      <c r="N195" s="10" t="s">
        <v>295</v>
      </c>
      <c r="O195" s="10" t="s">
        <v>296</v>
      </c>
      <c r="P195" s="10" t="s">
        <v>297</v>
      </c>
    </row>
    <row r="196" spans="3:17" ht="14.5" customHeight="1" x14ac:dyDescent="0.35">
      <c r="C196" s="144">
        <v>1</v>
      </c>
      <c r="D196" s="144">
        <v>20</v>
      </c>
      <c r="E196" s="144">
        <v>10</v>
      </c>
      <c r="F196" s="1" t="s">
        <v>159</v>
      </c>
      <c r="G196" s="98"/>
      <c r="H196" s="99"/>
      <c r="I196" s="78"/>
      <c r="J196" s="79"/>
      <c r="K196" s="80"/>
      <c r="L196" s="57">
        <f>('CO2e Factors'!$F$5*'Emissions for Pavement Options'!I196)</f>
        <v>0</v>
      </c>
      <c r="M196" s="100"/>
      <c r="N196" s="57">
        <f>('CO2e Factors'!$F$82*'Emissions for Pavement Options'!J196*'Emissions for Pavement Options'!M196)+('CO2e Factors'!$F$83*'Emissions for Pavement Options'!M196)</f>
        <v>0</v>
      </c>
      <c r="O196" s="41">
        <f>L196+N196</f>
        <v>0</v>
      </c>
      <c r="P196" s="154">
        <f>SUM(O196:O215)</f>
        <v>0</v>
      </c>
    </row>
    <row r="197" spans="3:17" ht="14.5" customHeight="1" x14ac:dyDescent="0.35">
      <c r="C197" s="145"/>
      <c r="D197" s="145"/>
      <c r="E197" s="145"/>
      <c r="F197" s="1" t="s">
        <v>68</v>
      </c>
      <c r="G197" s="98"/>
      <c r="H197" s="99"/>
      <c r="I197" s="78">
        <f>$D$196*$E$196*H197</f>
        <v>0</v>
      </c>
      <c r="J197" s="79"/>
      <c r="K197" s="81">
        <v>2100</v>
      </c>
      <c r="L197" s="57">
        <f>('CO2e Factors'!$F$6*'Emissions for Pavement Options'!I197)</f>
        <v>0</v>
      </c>
      <c r="M197" s="100"/>
      <c r="N197" s="57">
        <f>('CO2e Factors'!$F$82*'Emissions for Pavement Options'!J197*'Emissions for Pavement Options'!M197)+('CO2e Factors'!$F$83*'Emissions for Pavement Options'!M197)</f>
        <v>0</v>
      </c>
      <c r="O197" s="41">
        <f t="shared" ref="O197:O215" si="21">L197+N197</f>
        <v>0</v>
      </c>
      <c r="P197" s="155"/>
    </row>
    <row r="198" spans="3:17" ht="14.5" customHeight="1" x14ac:dyDescent="0.35">
      <c r="C198" s="145"/>
      <c r="D198" s="145"/>
      <c r="E198" s="145"/>
      <c r="F198" s="1" t="s">
        <v>204</v>
      </c>
      <c r="G198" s="98"/>
      <c r="H198" s="99"/>
      <c r="I198" s="78">
        <f>$D$196*$E$196*H198</f>
        <v>0</v>
      </c>
      <c r="J198" s="78">
        <f>I198*K198/1000</f>
        <v>0</v>
      </c>
      <c r="K198" s="81">
        <v>2100</v>
      </c>
      <c r="L198" s="57">
        <f>('CO2e Factors'!$F$7*'Emissions for Pavement Options'!I198)</f>
        <v>0</v>
      </c>
      <c r="M198" s="100"/>
      <c r="N198" s="57">
        <f>('CO2e Factors'!$F$82*'Emissions for Pavement Options'!J198*'Emissions for Pavement Options'!M198)+('CO2e Factors'!$F$83*'Emissions for Pavement Options'!M198)</f>
        <v>0</v>
      </c>
      <c r="O198" s="41">
        <f t="shared" si="21"/>
        <v>0</v>
      </c>
      <c r="P198" s="155"/>
    </row>
    <row r="199" spans="3:17" ht="14.5" customHeight="1" x14ac:dyDescent="0.35">
      <c r="C199" s="145"/>
      <c r="D199" s="145"/>
      <c r="E199" s="145"/>
      <c r="F199" s="1" t="s">
        <v>160</v>
      </c>
      <c r="G199" s="98"/>
      <c r="H199" s="99"/>
      <c r="I199" s="79"/>
      <c r="J199" s="78"/>
      <c r="K199" s="80"/>
      <c r="L199" s="57">
        <f>('CO2e Factors'!$F$8*'Emissions for Pavement Options'!J199)</f>
        <v>0</v>
      </c>
      <c r="M199" s="100"/>
      <c r="N199" s="57">
        <f>('CO2e Factors'!$F$82*'Emissions for Pavement Options'!J199*'Emissions for Pavement Options'!M199)+('CO2e Factors'!$F$83*'Emissions for Pavement Options'!M199)</f>
        <v>0</v>
      </c>
      <c r="O199" s="41">
        <f t="shared" si="21"/>
        <v>0</v>
      </c>
      <c r="P199" s="155"/>
    </row>
    <row r="200" spans="3:17" ht="14.5" customHeight="1" x14ac:dyDescent="0.35">
      <c r="C200" s="145"/>
      <c r="D200" s="145"/>
      <c r="E200" s="145"/>
      <c r="F200" s="1" t="s">
        <v>112</v>
      </c>
      <c r="G200" s="81"/>
      <c r="H200" s="99"/>
      <c r="I200" s="78">
        <f t="shared" ref="I200:I207" si="22">$D$196*$E$196*H200</f>
        <v>0</v>
      </c>
      <c r="J200" s="78">
        <f t="shared" ref="J200:J254" si="23">I200*K200/1000</f>
        <v>0</v>
      </c>
      <c r="K200" s="81">
        <v>2000</v>
      </c>
      <c r="L200" s="58">
        <f>(IF(G200="",0,IFERROR(VLOOKUP(G200, 'CO2e Factors'!$C$10:$F$79, 4, FALSE) * I200, "")))</f>
        <v>0</v>
      </c>
      <c r="M200" s="101"/>
      <c r="N200" s="57">
        <f>('CO2e Factors'!$F$82*'Emissions for Pavement Options'!J200*'Emissions for Pavement Options'!M200)+('CO2e Factors'!$F$83*'Emissions for Pavement Options'!M200)</f>
        <v>0</v>
      </c>
      <c r="O200" s="41">
        <f t="shared" si="21"/>
        <v>0</v>
      </c>
      <c r="P200" s="155"/>
    </row>
    <row r="201" spans="3:17" ht="14.5" customHeight="1" x14ac:dyDescent="0.35">
      <c r="C201" s="145"/>
      <c r="D201" s="145"/>
      <c r="E201" s="145"/>
      <c r="F201" s="1" t="s">
        <v>111</v>
      </c>
      <c r="G201" s="81"/>
      <c r="H201" s="99"/>
      <c r="I201" s="78">
        <f t="shared" si="22"/>
        <v>0</v>
      </c>
      <c r="J201" s="78">
        <f t="shared" si="23"/>
        <v>0</v>
      </c>
      <c r="K201" s="81">
        <v>1800</v>
      </c>
      <c r="L201" s="58">
        <f>(IF(G201="",0,IFERROR(VLOOKUP(G201, 'CO2e Factors'!$C$10:$F$79, 4, FALSE) * I201, "")))</f>
        <v>0</v>
      </c>
      <c r="M201" s="101"/>
      <c r="N201" s="57">
        <f>('CO2e Factors'!$F$82*'Emissions for Pavement Options'!J201*'Emissions for Pavement Options'!M201)+('CO2e Factors'!$F$83*'Emissions for Pavement Options'!M201)</f>
        <v>0</v>
      </c>
      <c r="O201" s="41">
        <f t="shared" si="21"/>
        <v>0</v>
      </c>
      <c r="P201" s="155"/>
    </row>
    <row r="202" spans="3:17" ht="14.5" customHeight="1" x14ac:dyDescent="0.35">
      <c r="C202" s="145"/>
      <c r="D202" s="145"/>
      <c r="E202" s="145"/>
      <c r="F202" s="1" t="s">
        <v>100</v>
      </c>
      <c r="G202" s="81"/>
      <c r="H202" s="99"/>
      <c r="I202" s="78">
        <f t="shared" si="22"/>
        <v>0</v>
      </c>
      <c r="J202" s="78">
        <f t="shared" si="23"/>
        <v>0</v>
      </c>
      <c r="K202" s="81">
        <v>1800</v>
      </c>
      <c r="L202" s="58">
        <f>(IF(G202="",0,IFERROR(VLOOKUP(G202, 'CO2e Factors'!$C$10:$F$79, 4, FALSE) * I202, "")))</f>
        <v>0</v>
      </c>
      <c r="M202" s="101"/>
      <c r="N202" s="57">
        <f>('CO2e Factors'!$F$82*'Emissions for Pavement Options'!J202*'Emissions for Pavement Options'!M202)+('CO2e Factors'!$F$83*'Emissions for Pavement Options'!M202)</f>
        <v>0</v>
      </c>
      <c r="O202" s="41">
        <f t="shared" si="21"/>
        <v>0</v>
      </c>
      <c r="P202" s="155"/>
    </row>
    <row r="203" spans="3:17" ht="14.5" customHeight="1" x14ac:dyDescent="0.35">
      <c r="C203" s="145"/>
      <c r="D203" s="145"/>
      <c r="E203" s="145"/>
      <c r="F203" s="1" t="s">
        <v>101</v>
      </c>
      <c r="G203" s="81"/>
      <c r="H203" s="99"/>
      <c r="I203" s="78">
        <f t="shared" si="22"/>
        <v>0</v>
      </c>
      <c r="J203" s="78">
        <f t="shared" si="23"/>
        <v>0</v>
      </c>
      <c r="K203" s="81">
        <v>1800</v>
      </c>
      <c r="L203" s="58">
        <f>(IF(G203="",0,IFERROR(VLOOKUP(G203, 'CO2e Factors'!$C$10:$F$79, 4, FALSE) * I203, "")))</f>
        <v>0</v>
      </c>
      <c r="M203" s="101"/>
      <c r="N203" s="57">
        <f>('CO2e Factors'!$F$82*'Emissions for Pavement Options'!J203*'Emissions for Pavement Options'!M203)+('CO2e Factors'!$F$83*'Emissions for Pavement Options'!M203)</f>
        <v>0</v>
      </c>
      <c r="O203" s="41">
        <f t="shared" si="21"/>
        <v>0</v>
      </c>
      <c r="P203" s="155"/>
    </row>
    <row r="204" spans="3:17" ht="14.5" customHeight="1" x14ac:dyDescent="0.35">
      <c r="C204" s="145"/>
      <c r="D204" s="145"/>
      <c r="E204" s="145"/>
      <c r="F204" s="1" t="s">
        <v>103</v>
      </c>
      <c r="G204" s="81"/>
      <c r="H204" s="99"/>
      <c r="I204" s="78">
        <f t="shared" si="22"/>
        <v>0</v>
      </c>
      <c r="J204" s="78">
        <f t="shared" si="23"/>
        <v>0</v>
      </c>
      <c r="K204" s="81">
        <v>1700</v>
      </c>
      <c r="L204" s="58">
        <f>(IF(G204="",0,IFERROR(VLOOKUP(G204, 'CO2e Factors'!$C$10:$F$79, 4, FALSE) * I204, "")))</f>
        <v>0</v>
      </c>
      <c r="M204" s="101"/>
      <c r="N204" s="57">
        <f>('CO2e Factors'!$F$82*'Emissions for Pavement Options'!J204*'Emissions for Pavement Options'!M204)+('CO2e Factors'!$F$83*'Emissions for Pavement Options'!M204)</f>
        <v>0</v>
      </c>
      <c r="O204" s="41">
        <f t="shared" si="21"/>
        <v>0</v>
      </c>
      <c r="P204" s="155"/>
    </row>
    <row r="205" spans="3:17" ht="14.5" customHeight="1" x14ac:dyDescent="0.35">
      <c r="C205" s="145"/>
      <c r="D205" s="145"/>
      <c r="E205" s="145"/>
      <c r="F205" s="1" t="s">
        <v>102</v>
      </c>
      <c r="G205" s="81"/>
      <c r="H205" s="99"/>
      <c r="I205" s="78">
        <f t="shared" si="22"/>
        <v>0</v>
      </c>
      <c r="J205" s="78">
        <f t="shared" si="23"/>
        <v>0</v>
      </c>
      <c r="K205" s="81">
        <v>1700</v>
      </c>
      <c r="L205" s="58">
        <f>(IF(G205="",0,IFERROR(VLOOKUP(G205, 'CO2e Factors'!$C$10:$F$79, 4, FALSE) * I205, "")))</f>
        <v>0</v>
      </c>
      <c r="M205" s="101"/>
      <c r="N205" s="57">
        <f>('CO2e Factors'!$F$82*'Emissions for Pavement Options'!J205*'Emissions for Pavement Options'!M205)+('CO2e Factors'!$F$83*'Emissions for Pavement Options'!M205)</f>
        <v>0</v>
      </c>
      <c r="O205" s="41">
        <f t="shared" si="21"/>
        <v>0</v>
      </c>
      <c r="P205" s="155"/>
    </row>
    <row r="206" spans="3:17" ht="14.5" customHeight="1" x14ac:dyDescent="0.35">
      <c r="C206" s="145"/>
      <c r="D206" s="145"/>
      <c r="E206" s="145"/>
      <c r="F206" s="1" t="s">
        <v>104</v>
      </c>
      <c r="G206" s="81"/>
      <c r="H206" s="99"/>
      <c r="I206" s="78">
        <f t="shared" si="22"/>
        <v>0</v>
      </c>
      <c r="J206" s="78">
        <f t="shared" si="23"/>
        <v>0</v>
      </c>
      <c r="K206" s="81">
        <v>2400</v>
      </c>
      <c r="L206" s="58">
        <f>(IF(G206="",0,IFERROR(VLOOKUP(G206, 'CO2e Factors'!$C$10:$F$79, 4, FALSE) * I206, "")))</f>
        <v>0</v>
      </c>
      <c r="M206" s="101"/>
      <c r="N206" s="57">
        <f>('CO2e Factors'!$F$82*'Emissions for Pavement Options'!J206*'Emissions for Pavement Options'!M206)+('CO2e Factors'!$F$83*'Emissions for Pavement Options'!M206)</f>
        <v>0</v>
      </c>
      <c r="O206" s="41">
        <f t="shared" si="21"/>
        <v>0</v>
      </c>
      <c r="P206" s="155"/>
    </row>
    <row r="207" spans="3:17" ht="14.5" customHeight="1" x14ac:dyDescent="0.35">
      <c r="C207" s="145"/>
      <c r="D207" s="145"/>
      <c r="E207" s="145"/>
      <c r="F207" s="1" t="s">
        <v>105</v>
      </c>
      <c r="G207" s="81"/>
      <c r="H207" s="99"/>
      <c r="I207" s="78">
        <f t="shared" si="22"/>
        <v>0</v>
      </c>
      <c r="J207" s="78">
        <f t="shared" si="23"/>
        <v>0</v>
      </c>
      <c r="K207" s="81">
        <v>2400</v>
      </c>
      <c r="L207" s="58">
        <f>(IF(G207="",0,IFERROR(VLOOKUP(G207, 'CO2e Factors'!$C$10:$F$79, 4, FALSE) * I207, "")))</f>
        <v>0</v>
      </c>
      <c r="M207" s="101"/>
      <c r="N207" s="57">
        <f>('CO2e Factors'!$F$82*'Emissions for Pavement Options'!J207*'Emissions for Pavement Options'!M207)+('CO2e Factors'!$F$83*'Emissions for Pavement Options'!M207)</f>
        <v>0</v>
      </c>
      <c r="O207" s="41">
        <f t="shared" si="21"/>
        <v>0</v>
      </c>
      <c r="P207" s="155"/>
      <c r="Q207" t="s">
        <v>252</v>
      </c>
    </row>
    <row r="208" spans="3:17" ht="14.5" customHeight="1" x14ac:dyDescent="0.35">
      <c r="C208" s="145"/>
      <c r="D208" s="145"/>
      <c r="E208" s="145"/>
      <c r="F208" s="1" t="s">
        <v>106</v>
      </c>
      <c r="G208" s="81"/>
      <c r="H208" s="99"/>
      <c r="I208" s="78">
        <f>$D$196*$E$196*1000</f>
        <v>200000</v>
      </c>
      <c r="J208" s="78">
        <f>I208*K208*(H208/1000)/1000</f>
        <v>0</v>
      </c>
      <c r="K208" s="81">
        <v>1800</v>
      </c>
      <c r="L208" s="58">
        <f>(IF(G208="",0,IFERROR(VLOOKUP(G208, 'CO2e Factors'!$C$10:$F$79, 4, FALSE) * I208, "")))</f>
        <v>0</v>
      </c>
      <c r="M208" s="101"/>
      <c r="N208" s="57">
        <f>('CO2e Factors'!$F$82*'Emissions for Pavement Options'!J208*'Emissions for Pavement Options'!M208)+('CO2e Factors'!$F$83*'Emissions for Pavement Options'!M208)</f>
        <v>0</v>
      </c>
      <c r="O208" s="41">
        <f t="shared" si="21"/>
        <v>0</v>
      </c>
      <c r="P208" s="155"/>
    </row>
    <row r="209" spans="3:16" ht="14.5" customHeight="1" x14ac:dyDescent="0.35">
      <c r="C209" s="145"/>
      <c r="D209" s="145"/>
      <c r="E209" s="145"/>
      <c r="F209" s="1" t="s">
        <v>184</v>
      </c>
      <c r="G209" s="81"/>
      <c r="H209" s="99"/>
      <c r="I209" s="78">
        <f>$D$196*$E$196*H209</f>
        <v>0</v>
      </c>
      <c r="J209" s="78">
        <f>I209*K209/1000</f>
        <v>0</v>
      </c>
      <c r="K209" s="81">
        <v>2400</v>
      </c>
      <c r="L209" s="58">
        <f>(IF(G209="",0,IFERROR(VLOOKUP(G209, 'CO2e Factors'!$C$10:$F$79, 4, FALSE) * I209, "")))</f>
        <v>0</v>
      </c>
      <c r="M209" s="101"/>
      <c r="N209" s="57">
        <f>('CO2e Factors'!$F$82*'Emissions for Pavement Options'!J209*'Emissions for Pavement Options'!M209)+('CO2e Factors'!$F$83*'Emissions for Pavement Options'!M209)</f>
        <v>0</v>
      </c>
      <c r="O209" s="41">
        <f t="shared" si="21"/>
        <v>0</v>
      </c>
      <c r="P209" s="155"/>
    </row>
    <row r="210" spans="3:16" ht="14.5" customHeight="1" x14ac:dyDescent="0.35">
      <c r="C210" s="145"/>
      <c r="D210" s="145"/>
      <c r="E210" s="145"/>
      <c r="F210" s="1" t="s">
        <v>185</v>
      </c>
      <c r="G210" s="81"/>
      <c r="H210" s="99"/>
      <c r="I210" s="78">
        <f>$D$196*$E$196*1000</f>
        <v>200000</v>
      </c>
      <c r="J210" s="78">
        <f>I210*K210*(H210/1000)/1000</f>
        <v>0</v>
      </c>
      <c r="K210" s="81">
        <v>1800</v>
      </c>
      <c r="L210" s="58">
        <f>(IF(G210="",0,IFERROR(VLOOKUP(G210, 'CO2e Factors'!$C$10:$F$79, 4, FALSE) * I210, "")))</f>
        <v>0</v>
      </c>
      <c r="M210" s="101"/>
      <c r="N210" s="57">
        <f>('CO2e Factors'!$F$82*'Emissions for Pavement Options'!J210*'Emissions for Pavement Options'!M210)+('CO2e Factors'!$F$83*'Emissions for Pavement Options'!M210)</f>
        <v>0</v>
      </c>
      <c r="O210" s="41">
        <f t="shared" si="21"/>
        <v>0</v>
      </c>
      <c r="P210" s="155"/>
    </row>
    <row r="211" spans="3:16" ht="14.5" customHeight="1" x14ac:dyDescent="0.35">
      <c r="C211" s="145"/>
      <c r="D211" s="145"/>
      <c r="E211" s="145"/>
      <c r="F211" s="1" t="s">
        <v>188</v>
      </c>
      <c r="G211" s="81"/>
      <c r="H211" s="99"/>
      <c r="I211" s="78">
        <f>$D$196*$E$196</f>
        <v>200</v>
      </c>
      <c r="J211" s="78">
        <f t="shared" si="23"/>
        <v>200</v>
      </c>
      <c r="K211" s="81">
        <v>1000</v>
      </c>
      <c r="L211" s="58">
        <f>(IF(G211="",0,IFERROR(VLOOKUP(G211, 'CO2e Factors'!$C$10:$F$79, 4, FALSE) * I211, "")))*1000</f>
        <v>0</v>
      </c>
      <c r="M211" s="101"/>
      <c r="N211" s="57">
        <f>('CO2e Factors'!$F$82*'Emissions for Pavement Options'!J211*'Emissions for Pavement Options'!M211)+('CO2e Factors'!$F$83*'Emissions for Pavement Options'!M211)</f>
        <v>0</v>
      </c>
      <c r="O211" s="41">
        <f t="shared" si="21"/>
        <v>0</v>
      </c>
      <c r="P211" s="155"/>
    </row>
    <row r="212" spans="3:16" ht="14.5" customHeight="1" x14ac:dyDescent="0.35">
      <c r="C212" s="145"/>
      <c r="D212" s="145"/>
      <c r="E212" s="145"/>
      <c r="F212" s="1" t="s">
        <v>189</v>
      </c>
      <c r="G212" s="81"/>
      <c r="H212" s="99"/>
      <c r="I212" s="78">
        <f t="shared" ref="I212:I213" si="24">$D$196*$E$196</f>
        <v>200</v>
      </c>
      <c r="J212" s="78">
        <f t="shared" si="23"/>
        <v>200</v>
      </c>
      <c r="K212" s="81">
        <v>1000</v>
      </c>
      <c r="L212" s="58">
        <f>(IF(G212="",0,IFERROR(VLOOKUP(G212, 'CO2e Factors'!$C$10:$F$79, 4, FALSE) * I212, "")))*1000</f>
        <v>0</v>
      </c>
      <c r="M212" s="101"/>
      <c r="N212" s="57">
        <f>('CO2e Factors'!$F$82*'Emissions for Pavement Options'!J212*'Emissions for Pavement Options'!M212)+('CO2e Factors'!$F$83*'Emissions for Pavement Options'!M212)</f>
        <v>0</v>
      </c>
      <c r="O212" s="41">
        <f t="shared" si="21"/>
        <v>0</v>
      </c>
      <c r="P212" s="155"/>
    </row>
    <row r="213" spans="3:16" ht="14.5" customHeight="1" x14ac:dyDescent="0.35">
      <c r="C213" s="145"/>
      <c r="D213" s="145"/>
      <c r="E213" s="145"/>
      <c r="F213" s="1" t="s">
        <v>195</v>
      </c>
      <c r="G213" s="81"/>
      <c r="H213" s="99"/>
      <c r="I213" s="78">
        <f t="shared" si="24"/>
        <v>200</v>
      </c>
      <c r="J213" s="78">
        <f t="shared" si="23"/>
        <v>200</v>
      </c>
      <c r="K213" s="81">
        <v>1000</v>
      </c>
      <c r="L213" s="58">
        <f>(IF(G213="",0,IFERROR(VLOOKUP(G213, 'CO2e Factors'!$C$10:$F$79, 4, FALSE) * I213, "")))*1000</f>
        <v>0</v>
      </c>
      <c r="M213" s="101"/>
      <c r="N213" s="57">
        <f>('CO2e Factors'!$F$82*'Emissions for Pavement Options'!J213*'Emissions for Pavement Options'!M213)+('CO2e Factors'!$F$83*'Emissions for Pavement Options'!M213)</f>
        <v>0</v>
      </c>
      <c r="O213" s="41">
        <f t="shared" si="21"/>
        <v>0</v>
      </c>
      <c r="P213" s="155"/>
    </row>
    <row r="214" spans="3:16" ht="14.5" customHeight="1" x14ac:dyDescent="0.35">
      <c r="C214" s="145"/>
      <c r="D214" s="145"/>
      <c r="E214" s="145"/>
      <c r="F214" s="1" t="s">
        <v>186</v>
      </c>
      <c r="G214" s="81"/>
      <c r="H214" s="99"/>
      <c r="I214" s="78">
        <f t="shared" ref="I214" si="25">$D$196*$E$196*H214</f>
        <v>0</v>
      </c>
      <c r="J214" s="78">
        <f>I214*K214/1000</f>
        <v>0</v>
      </c>
      <c r="K214" s="81">
        <v>2400</v>
      </c>
      <c r="L214" s="58">
        <f>(IF(G214="",0,IFERROR(VLOOKUP(G214, 'CO2e Factors'!$C$10:$F$79, 4, FALSE) * I214, "")))</f>
        <v>0</v>
      </c>
      <c r="M214" s="101"/>
      <c r="N214" s="57">
        <f>('CO2e Factors'!$F$82*'Emissions for Pavement Options'!J214*'Emissions for Pavement Options'!M214)+('CO2e Factors'!$F$83*'Emissions for Pavement Options'!M214)</f>
        <v>0</v>
      </c>
      <c r="O214" s="41">
        <f t="shared" si="21"/>
        <v>0</v>
      </c>
      <c r="P214" s="155"/>
    </row>
    <row r="215" spans="3:16" ht="14.5" customHeight="1" x14ac:dyDescent="0.35">
      <c r="C215" s="146"/>
      <c r="D215" s="146"/>
      <c r="E215" s="146"/>
      <c r="F215" s="1" t="s">
        <v>187</v>
      </c>
      <c r="G215" s="81"/>
      <c r="H215" s="99"/>
      <c r="I215" s="78"/>
      <c r="J215" s="78"/>
      <c r="K215" s="81">
        <v>7750</v>
      </c>
      <c r="L215" s="58">
        <f>(IF(G215="",0,IFERROR(VLOOKUP(G215, 'CO2e Factors'!$C$10:$F$79, 4, FALSE) * J215, "")))</f>
        <v>0</v>
      </c>
      <c r="M215" s="101"/>
      <c r="N215" s="57">
        <f>('CO2e Factors'!$F$82*'Emissions for Pavement Options'!J215*'Emissions for Pavement Options'!M215)+('CO2e Factors'!$F$83*'Emissions for Pavement Options'!M215)</f>
        <v>0</v>
      </c>
      <c r="O215" s="41">
        <f t="shared" si="21"/>
        <v>0</v>
      </c>
      <c r="P215" s="156"/>
    </row>
    <row r="216" spans="3:16" ht="14.5" customHeight="1" x14ac:dyDescent="0.35">
      <c r="C216" s="144">
        <v>2</v>
      </c>
      <c r="D216" s="144">
        <v>30</v>
      </c>
      <c r="E216" s="144">
        <v>10</v>
      </c>
      <c r="F216" s="1" t="s">
        <v>159</v>
      </c>
      <c r="G216" s="98"/>
      <c r="H216" s="99"/>
      <c r="I216" s="78"/>
      <c r="J216" s="79"/>
      <c r="K216" s="80"/>
      <c r="L216" s="57">
        <f>('CO2e Factors'!$F$5*'Emissions for Pavement Options'!I216)</f>
        <v>0</v>
      </c>
      <c r="M216" s="100"/>
      <c r="N216" s="57">
        <f>('CO2e Factors'!$F$82*'Emissions for Pavement Options'!J216*'Emissions for Pavement Options'!M216)+('CO2e Factors'!$F$83*'Emissions for Pavement Options'!M216)</f>
        <v>0</v>
      </c>
      <c r="O216" s="41">
        <f>L216+N216</f>
        <v>0</v>
      </c>
      <c r="P216" s="154">
        <f>SUM(O216:O235)</f>
        <v>0</v>
      </c>
    </row>
    <row r="217" spans="3:16" ht="14.5" customHeight="1" x14ac:dyDescent="0.35">
      <c r="C217" s="145"/>
      <c r="D217" s="145"/>
      <c r="E217" s="145"/>
      <c r="F217" s="1" t="s">
        <v>68</v>
      </c>
      <c r="G217" s="98"/>
      <c r="H217" s="99"/>
      <c r="I217" s="78">
        <f>$D$216*$E$216*H217</f>
        <v>0</v>
      </c>
      <c r="J217" s="79"/>
      <c r="K217" s="81">
        <v>2100</v>
      </c>
      <c r="L217" s="57">
        <f>('CO2e Factors'!$F$6*'Emissions for Pavement Options'!I217)</f>
        <v>0</v>
      </c>
      <c r="M217" s="100"/>
      <c r="N217" s="57">
        <f>('CO2e Factors'!$F$82*'Emissions for Pavement Options'!J217*'Emissions for Pavement Options'!M217)+('CO2e Factors'!$F$83*'Emissions for Pavement Options'!M217)</f>
        <v>0</v>
      </c>
      <c r="O217" s="41">
        <f t="shared" ref="O217:O235" si="26">L217+N217</f>
        <v>0</v>
      </c>
      <c r="P217" s="155"/>
    </row>
    <row r="218" spans="3:16" ht="14.5" customHeight="1" x14ac:dyDescent="0.35">
      <c r="C218" s="145"/>
      <c r="D218" s="145"/>
      <c r="E218" s="145"/>
      <c r="F218" s="1" t="s">
        <v>204</v>
      </c>
      <c r="G218" s="98"/>
      <c r="H218" s="99"/>
      <c r="I218" s="78">
        <f>$D$216*$E$216*H218</f>
        <v>0</v>
      </c>
      <c r="J218" s="78">
        <f>I218*K218/1000</f>
        <v>0</v>
      </c>
      <c r="K218" s="81">
        <v>2100</v>
      </c>
      <c r="L218" s="57">
        <f>('CO2e Factors'!$F$7*'Emissions for Pavement Options'!I218)</f>
        <v>0</v>
      </c>
      <c r="M218" s="100"/>
      <c r="N218" s="57">
        <f>('CO2e Factors'!$F$82*'Emissions for Pavement Options'!J218*'Emissions for Pavement Options'!M218)+('CO2e Factors'!$F$83*'Emissions for Pavement Options'!M218)</f>
        <v>0</v>
      </c>
      <c r="O218" s="41">
        <f t="shared" si="26"/>
        <v>0</v>
      </c>
      <c r="P218" s="155"/>
    </row>
    <row r="219" spans="3:16" ht="14.5" customHeight="1" x14ac:dyDescent="0.35">
      <c r="C219" s="145"/>
      <c r="D219" s="145"/>
      <c r="E219" s="145"/>
      <c r="F219" s="1" t="s">
        <v>160</v>
      </c>
      <c r="G219" s="98"/>
      <c r="H219" s="99"/>
      <c r="I219" s="79"/>
      <c r="J219" s="78"/>
      <c r="K219" s="80"/>
      <c r="L219" s="57">
        <f>('CO2e Factors'!$F$8*'Emissions for Pavement Options'!J219)</f>
        <v>0</v>
      </c>
      <c r="M219" s="100"/>
      <c r="N219" s="57">
        <f>('CO2e Factors'!$F$82*'Emissions for Pavement Options'!J219*'Emissions for Pavement Options'!M219)+('CO2e Factors'!$F$83*'Emissions for Pavement Options'!M219)</f>
        <v>0</v>
      </c>
      <c r="O219" s="41">
        <f t="shared" si="26"/>
        <v>0</v>
      </c>
      <c r="P219" s="155"/>
    </row>
    <row r="220" spans="3:16" ht="14.5" customHeight="1" x14ac:dyDescent="0.35">
      <c r="C220" s="145"/>
      <c r="D220" s="145"/>
      <c r="E220" s="145"/>
      <c r="F220" s="1" t="s">
        <v>112</v>
      </c>
      <c r="G220" s="81"/>
      <c r="H220" s="99"/>
      <c r="I220" s="78">
        <f t="shared" ref="I220:I227" si="27">$D$216*$E$216*H220</f>
        <v>0</v>
      </c>
      <c r="J220" s="78">
        <f t="shared" si="23"/>
        <v>0</v>
      </c>
      <c r="K220" s="81">
        <v>2000</v>
      </c>
      <c r="L220" s="58">
        <f>(IF(G220="",0,IFERROR(VLOOKUP(G220, 'CO2e Factors'!$C$10:$F$79, 4, FALSE) * I220, "")))</f>
        <v>0</v>
      </c>
      <c r="M220" s="101"/>
      <c r="N220" s="57">
        <f>('CO2e Factors'!$F$82*'Emissions for Pavement Options'!J220*'Emissions for Pavement Options'!M220)+('CO2e Factors'!$F$83*'Emissions for Pavement Options'!M220)</f>
        <v>0</v>
      </c>
      <c r="O220" s="41">
        <f t="shared" si="26"/>
        <v>0</v>
      </c>
      <c r="P220" s="155"/>
    </row>
    <row r="221" spans="3:16" ht="14.5" customHeight="1" x14ac:dyDescent="0.35">
      <c r="C221" s="145"/>
      <c r="D221" s="145"/>
      <c r="E221" s="145"/>
      <c r="F221" s="1" t="s">
        <v>111</v>
      </c>
      <c r="G221" s="81"/>
      <c r="H221" s="99"/>
      <c r="I221" s="78">
        <f t="shared" si="27"/>
        <v>0</v>
      </c>
      <c r="J221" s="78">
        <f t="shared" si="23"/>
        <v>0</v>
      </c>
      <c r="K221" s="81">
        <v>1800</v>
      </c>
      <c r="L221" s="58">
        <f>(IF(G221="",0,IFERROR(VLOOKUP(G221, 'CO2e Factors'!$C$10:$F$79, 4, FALSE) * I221, "")))</f>
        <v>0</v>
      </c>
      <c r="M221" s="101"/>
      <c r="N221" s="57">
        <f>('CO2e Factors'!$F$82*'Emissions for Pavement Options'!J221*'Emissions for Pavement Options'!M221)+('CO2e Factors'!$F$83*'Emissions for Pavement Options'!M221)</f>
        <v>0</v>
      </c>
      <c r="O221" s="41">
        <f t="shared" si="26"/>
        <v>0</v>
      </c>
      <c r="P221" s="155"/>
    </row>
    <row r="222" spans="3:16" ht="14.5" customHeight="1" x14ac:dyDescent="0.35">
      <c r="C222" s="145"/>
      <c r="D222" s="145"/>
      <c r="E222" s="145"/>
      <c r="F222" s="1" t="s">
        <v>100</v>
      </c>
      <c r="G222" s="81"/>
      <c r="H222" s="99"/>
      <c r="I222" s="78">
        <f t="shared" si="27"/>
        <v>0</v>
      </c>
      <c r="J222" s="78">
        <f t="shared" si="23"/>
        <v>0</v>
      </c>
      <c r="K222" s="81">
        <v>1800</v>
      </c>
      <c r="L222" s="58">
        <f>(IF(G222="",0,IFERROR(VLOOKUP(G222, 'CO2e Factors'!$C$10:$F$79, 4, FALSE) * I222, "")))</f>
        <v>0</v>
      </c>
      <c r="M222" s="101"/>
      <c r="N222" s="57">
        <f>('CO2e Factors'!$F$82*'Emissions for Pavement Options'!J222*'Emissions for Pavement Options'!M222)+('CO2e Factors'!$F$83*'Emissions for Pavement Options'!M222)</f>
        <v>0</v>
      </c>
      <c r="O222" s="41">
        <f t="shared" si="26"/>
        <v>0</v>
      </c>
      <c r="P222" s="155"/>
    </row>
    <row r="223" spans="3:16" ht="14.5" customHeight="1" x14ac:dyDescent="0.35">
      <c r="C223" s="145"/>
      <c r="D223" s="145"/>
      <c r="E223" s="145"/>
      <c r="F223" s="1" t="s">
        <v>101</v>
      </c>
      <c r="G223" s="81"/>
      <c r="H223" s="99"/>
      <c r="I223" s="78">
        <f t="shared" si="27"/>
        <v>0</v>
      </c>
      <c r="J223" s="78">
        <f t="shared" si="23"/>
        <v>0</v>
      </c>
      <c r="K223" s="81">
        <v>1800</v>
      </c>
      <c r="L223" s="58">
        <f>(IF(G223="",0,IFERROR(VLOOKUP(G223, 'CO2e Factors'!$C$10:$F$79, 4, FALSE) * I223, "")))</f>
        <v>0</v>
      </c>
      <c r="M223" s="101"/>
      <c r="N223" s="57">
        <f>('CO2e Factors'!$F$82*'Emissions for Pavement Options'!J223*'Emissions for Pavement Options'!M223)+('CO2e Factors'!$F$83*'Emissions for Pavement Options'!M223)</f>
        <v>0</v>
      </c>
      <c r="O223" s="41">
        <f t="shared" si="26"/>
        <v>0</v>
      </c>
      <c r="P223" s="155"/>
    </row>
    <row r="224" spans="3:16" ht="14.5" customHeight="1" x14ac:dyDescent="0.35">
      <c r="C224" s="145"/>
      <c r="D224" s="145"/>
      <c r="E224" s="145"/>
      <c r="F224" s="1" t="s">
        <v>103</v>
      </c>
      <c r="G224" s="81"/>
      <c r="H224" s="99"/>
      <c r="I224" s="78">
        <f t="shared" si="27"/>
        <v>0</v>
      </c>
      <c r="J224" s="78">
        <f t="shared" si="23"/>
        <v>0</v>
      </c>
      <c r="K224" s="81">
        <v>1700</v>
      </c>
      <c r="L224" s="58">
        <f>(IF(G224="",0,IFERROR(VLOOKUP(G224, 'CO2e Factors'!$C$10:$F$79, 4, FALSE) * I224, "")))</f>
        <v>0</v>
      </c>
      <c r="M224" s="101"/>
      <c r="N224" s="57">
        <f>('CO2e Factors'!$F$82*'Emissions for Pavement Options'!J224*'Emissions for Pavement Options'!M224)+('CO2e Factors'!$F$83*'Emissions for Pavement Options'!M224)</f>
        <v>0</v>
      </c>
      <c r="O224" s="41">
        <f t="shared" si="26"/>
        <v>0</v>
      </c>
      <c r="P224" s="155"/>
    </row>
    <row r="225" spans="3:17" ht="14.5" customHeight="1" x14ac:dyDescent="0.35">
      <c r="C225" s="145"/>
      <c r="D225" s="145"/>
      <c r="E225" s="145"/>
      <c r="F225" s="1" t="s">
        <v>102</v>
      </c>
      <c r="G225" s="81"/>
      <c r="H225" s="99"/>
      <c r="I225" s="78">
        <f t="shared" si="27"/>
        <v>0</v>
      </c>
      <c r="J225" s="78">
        <f t="shared" si="23"/>
        <v>0</v>
      </c>
      <c r="K225" s="81">
        <v>1700</v>
      </c>
      <c r="L225" s="58">
        <f>(IF(G225="",0,IFERROR(VLOOKUP(G225, 'CO2e Factors'!$C$10:$F$79, 4, FALSE) * I225, "")))</f>
        <v>0</v>
      </c>
      <c r="M225" s="101"/>
      <c r="N225" s="57">
        <f>('CO2e Factors'!$F$82*'Emissions for Pavement Options'!J225*'Emissions for Pavement Options'!M225)+('CO2e Factors'!$F$83*'Emissions for Pavement Options'!M225)</f>
        <v>0</v>
      </c>
      <c r="O225" s="41">
        <f t="shared" si="26"/>
        <v>0</v>
      </c>
      <c r="P225" s="155"/>
    </row>
    <row r="226" spans="3:17" ht="14.5" customHeight="1" x14ac:dyDescent="0.35">
      <c r="C226" s="145"/>
      <c r="D226" s="145"/>
      <c r="E226" s="145"/>
      <c r="F226" s="1" t="s">
        <v>104</v>
      </c>
      <c r="G226" s="81"/>
      <c r="H226" s="99"/>
      <c r="I226" s="78">
        <f t="shared" si="27"/>
        <v>0</v>
      </c>
      <c r="J226" s="78">
        <f t="shared" si="23"/>
        <v>0</v>
      </c>
      <c r="K226" s="81">
        <v>2400</v>
      </c>
      <c r="L226" s="58">
        <f>(IF(G226="",0,IFERROR(VLOOKUP(G226, 'CO2e Factors'!$C$10:$F$79, 4, FALSE) * I226, "")))</f>
        <v>0</v>
      </c>
      <c r="M226" s="101"/>
      <c r="N226" s="57">
        <f>('CO2e Factors'!$F$82*'Emissions for Pavement Options'!J226*'Emissions for Pavement Options'!M226)+('CO2e Factors'!$F$83*'Emissions for Pavement Options'!M226)</f>
        <v>0</v>
      </c>
      <c r="O226" s="41">
        <f t="shared" si="26"/>
        <v>0</v>
      </c>
      <c r="P226" s="155"/>
    </row>
    <row r="227" spans="3:17" ht="14.5" customHeight="1" x14ac:dyDescent="0.35">
      <c r="C227" s="145"/>
      <c r="D227" s="145"/>
      <c r="E227" s="145"/>
      <c r="F227" s="1" t="s">
        <v>105</v>
      </c>
      <c r="G227" s="81"/>
      <c r="H227" s="99"/>
      <c r="I227" s="78">
        <f t="shared" si="27"/>
        <v>0</v>
      </c>
      <c r="J227" s="78">
        <f t="shared" si="23"/>
        <v>0</v>
      </c>
      <c r="K227" s="81">
        <v>2400</v>
      </c>
      <c r="L227" s="58">
        <f>(IF(G227="",0,IFERROR(VLOOKUP(G227, 'CO2e Factors'!$C$10:$F$79, 4, FALSE) * I227, "")))</f>
        <v>0</v>
      </c>
      <c r="M227" s="101"/>
      <c r="N227" s="57">
        <f>('CO2e Factors'!$F$82*'Emissions for Pavement Options'!J227*'Emissions for Pavement Options'!M227)+('CO2e Factors'!$F$83*'Emissions for Pavement Options'!M227)</f>
        <v>0</v>
      </c>
      <c r="O227" s="41">
        <f t="shared" si="26"/>
        <v>0</v>
      </c>
      <c r="P227" s="155"/>
      <c r="Q227" t="s">
        <v>252</v>
      </c>
    </row>
    <row r="228" spans="3:17" ht="14.5" customHeight="1" x14ac:dyDescent="0.35">
      <c r="C228" s="145"/>
      <c r="D228" s="145"/>
      <c r="E228" s="145"/>
      <c r="F228" s="1" t="s">
        <v>106</v>
      </c>
      <c r="G228" s="81"/>
      <c r="H228" s="99"/>
      <c r="I228" s="78">
        <f>$D$216*$E$216*1000</f>
        <v>300000</v>
      </c>
      <c r="J228" s="78">
        <f>I228*K228*(H228/1000)/1000</f>
        <v>0</v>
      </c>
      <c r="K228" s="81">
        <v>1800</v>
      </c>
      <c r="L228" s="58">
        <f>(IF(G228="",0,IFERROR(VLOOKUP(G228, 'CO2e Factors'!$C$10:$F$79, 4, FALSE) * I228, "")))</f>
        <v>0</v>
      </c>
      <c r="M228" s="101"/>
      <c r="N228" s="57">
        <f>('CO2e Factors'!$F$82*'Emissions for Pavement Options'!J228*'Emissions for Pavement Options'!M228)+('CO2e Factors'!$F$83*'Emissions for Pavement Options'!M228)</f>
        <v>0</v>
      </c>
      <c r="O228" s="41">
        <f t="shared" si="26"/>
        <v>0</v>
      </c>
      <c r="P228" s="155"/>
    </row>
    <row r="229" spans="3:17" ht="14.5" customHeight="1" x14ac:dyDescent="0.35">
      <c r="C229" s="145"/>
      <c r="D229" s="145"/>
      <c r="E229" s="145"/>
      <c r="F229" s="1" t="s">
        <v>184</v>
      </c>
      <c r="G229" s="81"/>
      <c r="H229" s="99"/>
      <c r="I229" s="78">
        <f>$D$216*$E$216*H229</f>
        <v>0</v>
      </c>
      <c r="J229" s="78">
        <f>I229*K229/1000</f>
        <v>0</v>
      </c>
      <c r="K229" s="81">
        <v>2400</v>
      </c>
      <c r="L229" s="58">
        <f>(IF(G229="",0,IFERROR(VLOOKUP(G229, 'CO2e Factors'!$C$10:$F$79, 4, FALSE) * I229, "")))</f>
        <v>0</v>
      </c>
      <c r="M229" s="101"/>
      <c r="N229" s="57">
        <f>('CO2e Factors'!$F$82*'Emissions for Pavement Options'!J229*'Emissions for Pavement Options'!M229)+('CO2e Factors'!$F$83*'Emissions for Pavement Options'!M229)</f>
        <v>0</v>
      </c>
      <c r="O229" s="41">
        <f t="shared" si="26"/>
        <v>0</v>
      </c>
      <c r="P229" s="155"/>
    </row>
    <row r="230" spans="3:17" ht="14.5" customHeight="1" x14ac:dyDescent="0.35">
      <c r="C230" s="145"/>
      <c r="D230" s="145"/>
      <c r="E230" s="145"/>
      <c r="F230" s="1" t="s">
        <v>185</v>
      </c>
      <c r="G230" s="81"/>
      <c r="H230" s="99"/>
      <c r="I230" s="78">
        <f>$D$216*$E$216*1000</f>
        <v>300000</v>
      </c>
      <c r="J230" s="78">
        <f>I230*K230*(H230/1000)/1000</f>
        <v>0</v>
      </c>
      <c r="K230" s="81">
        <v>1800</v>
      </c>
      <c r="L230" s="58">
        <f>(IF(G230="",0,IFERROR(VLOOKUP(G230, 'CO2e Factors'!$C$10:$F$79, 4, FALSE) * I230, "")))</f>
        <v>0</v>
      </c>
      <c r="M230" s="101"/>
      <c r="N230" s="57">
        <f>('CO2e Factors'!$F$82*'Emissions for Pavement Options'!J230*'Emissions for Pavement Options'!M230)+('CO2e Factors'!$F$83*'Emissions for Pavement Options'!M230)</f>
        <v>0</v>
      </c>
      <c r="O230" s="41">
        <f t="shared" si="26"/>
        <v>0</v>
      </c>
      <c r="P230" s="155"/>
    </row>
    <row r="231" spans="3:17" ht="14.5" customHeight="1" x14ac:dyDescent="0.35">
      <c r="C231" s="145"/>
      <c r="D231" s="145"/>
      <c r="E231" s="145"/>
      <c r="F231" s="1" t="s">
        <v>188</v>
      </c>
      <c r="G231" s="81"/>
      <c r="H231" s="99"/>
      <c r="I231" s="78">
        <f>$D$216*$E$216</f>
        <v>300</v>
      </c>
      <c r="J231" s="78">
        <f t="shared" si="23"/>
        <v>300</v>
      </c>
      <c r="K231" s="81">
        <v>1000</v>
      </c>
      <c r="L231" s="58">
        <f>(IF(G231="",0,IFERROR(VLOOKUP(G231, 'CO2e Factors'!$C$10:$F$79, 4, FALSE) * I231, "")))*1000</f>
        <v>0</v>
      </c>
      <c r="M231" s="101"/>
      <c r="N231" s="57">
        <f>('CO2e Factors'!$F$82*'Emissions for Pavement Options'!J231*'Emissions for Pavement Options'!M231)+('CO2e Factors'!$F$83*'Emissions for Pavement Options'!M231)</f>
        <v>0</v>
      </c>
      <c r="O231" s="41">
        <f t="shared" si="26"/>
        <v>0</v>
      </c>
      <c r="P231" s="155"/>
    </row>
    <row r="232" spans="3:17" ht="14.5" customHeight="1" x14ac:dyDescent="0.35">
      <c r="C232" s="145"/>
      <c r="D232" s="145"/>
      <c r="E232" s="145"/>
      <c r="F232" s="1" t="s">
        <v>189</v>
      </c>
      <c r="G232" s="81"/>
      <c r="H232" s="99"/>
      <c r="I232" s="78">
        <f>$D$216*$E$216</f>
        <v>300</v>
      </c>
      <c r="J232" s="78">
        <f t="shared" si="23"/>
        <v>300</v>
      </c>
      <c r="K232" s="81">
        <v>1000</v>
      </c>
      <c r="L232" s="58">
        <f>(IF(G232="",0,IFERROR(VLOOKUP(G232, 'CO2e Factors'!$C$10:$F$79, 4, FALSE) * I232, "")))*1000</f>
        <v>0</v>
      </c>
      <c r="M232" s="101"/>
      <c r="N232" s="57">
        <f>('CO2e Factors'!$F$82*'Emissions for Pavement Options'!J232*'Emissions for Pavement Options'!M232)+('CO2e Factors'!$F$83*'Emissions for Pavement Options'!M232)</f>
        <v>0</v>
      </c>
      <c r="O232" s="41">
        <f t="shared" si="26"/>
        <v>0</v>
      </c>
      <c r="P232" s="155"/>
    </row>
    <row r="233" spans="3:17" ht="14.5" customHeight="1" x14ac:dyDescent="0.35">
      <c r="C233" s="145"/>
      <c r="D233" s="145"/>
      <c r="E233" s="145"/>
      <c r="F233" s="1" t="s">
        <v>195</v>
      </c>
      <c r="G233" s="81"/>
      <c r="H233" s="99"/>
      <c r="I233" s="78">
        <f>$D$216*$E$216</f>
        <v>300</v>
      </c>
      <c r="J233" s="78">
        <f t="shared" si="23"/>
        <v>300</v>
      </c>
      <c r="K233" s="81">
        <v>1000</v>
      </c>
      <c r="L233" s="58">
        <f>(IF(G233="",0,IFERROR(VLOOKUP(G233, 'CO2e Factors'!$C$10:$F$79, 4, FALSE) * I233, "")))*1000</f>
        <v>0</v>
      </c>
      <c r="M233" s="101"/>
      <c r="N233" s="57">
        <f>('CO2e Factors'!$F$82*'Emissions for Pavement Options'!J233*'Emissions for Pavement Options'!M233)+('CO2e Factors'!$F$83*'Emissions for Pavement Options'!M233)</f>
        <v>0</v>
      </c>
      <c r="O233" s="41">
        <f t="shared" si="26"/>
        <v>0</v>
      </c>
      <c r="P233" s="155"/>
    </row>
    <row r="234" spans="3:17" ht="14.5" customHeight="1" x14ac:dyDescent="0.35">
      <c r="C234" s="145"/>
      <c r="D234" s="145"/>
      <c r="E234" s="145"/>
      <c r="F234" s="1" t="s">
        <v>186</v>
      </c>
      <c r="G234" s="81"/>
      <c r="H234" s="99"/>
      <c r="I234" s="78">
        <f>$D$216*$E$216*H234</f>
        <v>0</v>
      </c>
      <c r="J234" s="78">
        <f t="shared" si="23"/>
        <v>0</v>
      </c>
      <c r="K234" s="81">
        <v>2400</v>
      </c>
      <c r="L234" s="58">
        <f>(IF(G234="",0,IFERROR(VLOOKUP(G234, 'CO2e Factors'!$C$10:$F$79, 4, FALSE) * I234, "")))</f>
        <v>0</v>
      </c>
      <c r="M234" s="101"/>
      <c r="N234" s="57">
        <f>('CO2e Factors'!$F$82*'Emissions for Pavement Options'!J234*'Emissions for Pavement Options'!M234)+('CO2e Factors'!$F$83*'Emissions for Pavement Options'!M234)</f>
        <v>0</v>
      </c>
      <c r="O234" s="41">
        <f t="shared" si="26"/>
        <v>0</v>
      </c>
      <c r="P234" s="155"/>
    </row>
    <row r="235" spans="3:17" ht="14.5" customHeight="1" x14ac:dyDescent="0.35">
      <c r="C235" s="146"/>
      <c r="D235" s="146"/>
      <c r="E235" s="146"/>
      <c r="F235" s="1" t="s">
        <v>187</v>
      </c>
      <c r="G235" s="81"/>
      <c r="H235" s="99"/>
      <c r="I235" s="78"/>
      <c r="J235" s="78"/>
      <c r="K235" s="81">
        <v>7750</v>
      </c>
      <c r="L235" s="58">
        <f>(IF(G235="",0,IFERROR(VLOOKUP(G235, 'CO2e Factors'!$C$10:$F$79, 4, FALSE) * J235, "")))</f>
        <v>0</v>
      </c>
      <c r="M235" s="101"/>
      <c r="N235" s="57">
        <f>('CO2e Factors'!$F$82*'Emissions for Pavement Options'!J235*'Emissions for Pavement Options'!M235)+('CO2e Factors'!$F$83*'Emissions for Pavement Options'!M235)</f>
        <v>0</v>
      </c>
      <c r="O235" s="41">
        <f t="shared" si="26"/>
        <v>0</v>
      </c>
      <c r="P235" s="156"/>
    </row>
    <row r="236" spans="3:17" ht="14.5" customHeight="1" x14ac:dyDescent="0.35">
      <c r="C236" s="144">
        <v>3</v>
      </c>
      <c r="D236" s="144">
        <v>40</v>
      </c>
      <c r="E236" s="144">
        <v>10</v>
      </c>
      <c r="F236" s="1" t="s">
        <v>159</v>
      </c>
      <c r="G236" s="98"/>
      <c r="H236" s="99"/>
      <c r="I236" s="78"/>
      <c r="J236" s="79"/>
      <c r="K236" s="80"/>
      <c r="L236" s="57">
        <f>('CO2e Factors'!$F$5*'Emissions for Pavement Options'!I236)</f>
        <v>0</v>
      </c>
      <c r="M236" s="100"/>
      <c r="N236" s="57">
        <f>('CO2e Factors'!$F$82*'Emissions for Pavement Options'!J236*'Emissions for Pavement Options'!M236)+('CO2e Factors'!$F$83*'Emissions for Pavement Options'!M236)</f>
        <v>0</v>
      </c>
      <c r="O236" s="41">
        <f>L236+N236</f>
        <v>0</v>
      </c>
      <c r="P236" s="154">
        <f>SUM(O236:O255)</f>
        <v>0</v>
      </c>
    </row>
    <row r="237" spans="3:17" ht="14.5" customHeight="1" x14ac:dyDescent="0.35">
      <c r="C237" s="145"/>
      <c r="D237" s="145"/>
      <c r="E237" s="145"/>
      <c r="F237" s="1" t="s">
        <v>68</v>
      </c>
      <c r="G237" s="98"/>
      <c r="H237" s="99"/>
      <c r="I237" s="78">
        <f>$D$236*$E$236*H237</f>
        <v>0</v>
      </c>
      <c r="J237" s="79"/>
      <c r="K237" s="81">
        <v>2100</v>
      </c>
      <c r="L237" s="57">
        <f>('CO2e Factors'!$F$6*'Emissions for Pavement Options'!I237)</f>
        <v>0</v>
      </c>
      <c r="M237" s="100"/>
      <c r="N237" s="57">
        <f>('CO2e Factors'!$F$82*'Emissions for Pavement Options'!J237*'Emissions for Pavement Options'!M237)+('CO2e Factors'!$F$83*'Emissions for Pavement Options'!M237)</f>
        <v>0</v>
      </c>
      <c r="O237" s="41">
        <f t="shared" ref="O237:O255" si="28">L237+N237</f>
        <v>0</v>
      </c>
      <c r="P237" s="155"/>
    </row>
    <row r="238" spans="3:17" ht="14.5" customHeight="1" x14ac:dyDescent="0.35">
      <c r="C238" s="145"/>
      <c r="D238" s="145"/>
      <c r="E238" s="145"/>
      <c r="F238" s="1" t="s">
        <v>204</v>
      </c>
      <c r="G238" s="98"/>
      <c r="H238" s="99"/>
      <c r="I238" s="78">
        <f>$D$236*$E$236*H238</f>
        <v>0</v>
      </c>
      <c r="J238" s="78">
        <f>I238*K238/1000</f>
        <v>0</v>
      </c>
      <c r="K238" s="81">
        <v>2100</v>
      </c>
      <c r="L238" s="57">
        <f>('CO2e Factors'!$F$7*'Emissions for Pavement Options'!I238)</f>
        <v>0</v>
      </c>
      <c r="M238" s="100"/>
      <c r="N238" s="57">
        <f>('CO2e Factors'!$F$82*'Emissions for Pavement Options'!J238*'Emissions for Pavement Options'!M238)+('CO2e Factors'!$F$83*'Emissions for Pavement Options'!M238)</f>
        <v>0</v>
      </c>
      <c r="O238" s="41">
        <f t="shared" si="28"/>
        <v>0</v>
      </c>
      <c r="P238" s="155"/>
    </row>
    <row r="239" spans="3:17" ht="14.5" customHeight="1" x14ac:dyDescent="0.35">
      <c r="C239" s="145"/>
      <c r="D239" s="145"/>
      <c r="E239" s="145"/>
      <c r="F239" s="1" t="s">
        <v>160</v>
      </c>
      <c r="G239" s="98"/>
      <c r="H239" s="99"/>
      <c r="I239" s="79"/>
      <c r="J239" s="78"/>
      <c r="K239" s="80"/>
      <c r="L239" s="57">
        <f>('CO2e Factors'!$F$8*'Emissions for Pavement Options'!J239)</f>
        <v>0</v>
      </c>
      <c r="M239" s="100"/>
      <c r="N239" s="57">
        <f>('CO2e Factors'!$F$82*'Emissions for Pavement Options'!J239*'Emissions for Pavement Options'!M239)+('CO2e Factors'!$F$83*'Emissions for Pavement Options'!M239)</f>
        <v>0</v>
      </c>
      <c r="O239" s="41">
        <f t="shared" si="28"/>
        <v>0</v>
      </c>
      <c r="P239" s="155"/>
    </row>
    <row r="240" spans="3:17" ht="14.5" customHeight="1" x14ac:dyDescent="0.35">
      <c r="C240" s="145"/>
      <c r="D240" s="145"/>
      <c r="E240" s="145"/>
      <c r="F240" s="1" t="s">
        <v>112</v>
      </c>
      <c r="G240" s="81"/>
      <c r="H240" s="99"/>
      <c r="I240" s="78">
        <f t="shared" ref="I240:I247" si="29">$D$236*$E$236*H240</f>
        <v>0</v>
      </c>
      <c r="J240" s="78">
        <f t="shared" si="23"/>
        <v>0</v>
      </c>
      <c r="K240" s="81">
        <v>2000</v>
      </c>
      <c r="L240" s="58">
        <f>(IF(G240="",0,IFERROR(VLOOKUP(G240, 'CO2e Factors'!$C$10:$F$79, 4, FALSE) * I240, "")))</f>
        <v>0</v>
      </c>
      <c r="M240" s="101"/>
      <c r="N240" s="57">
        <f>('CO2e Factors'!$F$82*'Emissions for Pavement Options'!J240*'Emissions for Pavement Options'!M240)+('CO2e Factors'!$F$83*'Emissions for Pavement Options'!M240)</f>
        <v>0</v>
      </c>
      <c r="O240" s="41">
        <f t="shared" si="28"/>
        <v>0</v>
      </c>
      <c r="P240" s="155"/>
    </row>
    <row r="241" spans="3:17" ht="14.5" customHeight="1" x14ac:dyDescent="0.35">
      <c r="C241" s="145"/>
      <c r="D241" s="145"/>
      <c r="E241" s="145"/>
      <c r="F241" s="1" t="s">
        <v>111</v>
      </c>
      <c r="G241" s="81"/>
      <c r="H241" s="99"/>
      <c r="I241" s="78">
        <f t="shared" si="29"/>
        <v>0</v>
      </c>
      <c r="J241" s="78">
        <f t="shared" si="23"/>
        <v>0</v>
      </c>
      <c r="K241" s="81">
        <v>1800</v>
      </c>
      <c r="L241" s="58">
        <f>(IF(G241="",0,IFERROR(VLOOKUP(G241, 'CO2e Factors'!$C$10:$F$79, 4, FALSE) * I241, "")))</f>
        <v>0</v>
      </c>
      <c r="M241" s="101"/>
      <c r="N241" s="57">
        <f>('CO2e Factors'!$F$82*'Emissions for Pavement Options'!J241*'Emissions for Pavement Options'!M241)+('CO2e Factors'!$F$83*'Emissions for Pavement Options'!M241)</f>
        <v>0</v>
      </c>
      <c r="O241" s="41">
        <f t="shared" si="28"/>
        <v>0</v>
      </c>
      <c r="P241" s="155"/>
    </row>
    <row r="242" spans="3:17" ht="14.5" customHeight="1" x14ac:dyDescent="0.35">
      <c r="C242" s="145"/>
      <c r="D242" s="145"/>
      <c r="E242" s="145"/>
      <c r="F242" s="1" t="s">
        <v>100</v>
      </c>
      <c r="G242" s="81"/>
      <c r="H242" s="99"/>
      <c r="I242" s="78">
        <f t="shared" si="29"/>
        <v>0</v>
      </c>
      <c r="J242" s="78">
        <f t="shared" si="23"/>
        <v>0</v>
      </c>
      <c r="K242" s="81">
        <v>1800</v>
      </c>
      <c r="L242" s="58">
        <f>(IF(G242="",0,IFERROR(VLOOKUP(G242, 'CO2e Factors'!$C$10:$F$79, 4, FALSE) * I242, "")))</f>
        <v>0</v>
      </c>
      <c r="M242" s="101"/>
      <c r="N242" s="57">
        <f>('CO2e Factors'!$F$82*'Emissions for Pavement Options'!J242*'Emissions for Pavement Options'!M242)+('CO2e Factors'!$F$83*'Emissions for Pavement Options'!M242)</f>
        <v>0</v>
      </c>
      <c r="O242" s="41">
        <f t="shared" si="28"/>
        <v>0</v>
      </c>
      <c r="P242" s="155"/>
    </row>
    <row r="243" spans="3:17" ht="14.5" customHeight="1" x14ac:dyDescent="0.35">
      <c r="C243" s="145"/>
      <c r="D243" s="145"/>
      <c r="E243" s="145"/>
      <c r="F243" s="1" t="s">
        <v>101</v>
      </c>
      <c r="G243" s="81"/>
      <c r="H243" s="99"/>
      <c r="I243" s="78">
        <f t="shared" si="29"/>
        <v>0</v>
      </c>
      <c r="J243" s="78">
        <f t="shared" si="23"/>
        <v>0</v>
      </c>
      <c r="K243" s="81">
        <v>1800</v>
      </c>
      <c r="L243" s="58">
        <f>(IF(G243="",0,IFERROR(VLOOKUP(G243, 'CO2e Factors'!$C$10:$F$79, 4, FALSE) * I243, "")))</f>
        <v>0</v>
      </c>
      <c r="M243" s="101"/>
      <c r="N243" s="57">
        <f>('CO2e Factors'!$F$82*'Emissions for Pavement Options'!J243*'Emissions for Pavement Options'!M243)+('CO2e Factors'!$F$83*'Emissions for Pavement Options'!M243)</f>
        <v>0</v>
      </c>
      <c r="O243" s="41">
        <f t="shared" si="28"/>
        <v>0</v>
      </c>
      <c r="P243" s="155"/>
    </row>
    <row r="244" spans="3:17" ht="14.5" customHeight="1" x14ac:dyDescent="0.35">
      <c r="C244" s="145"/>
      <c r="D244" s="145"/>
      <c r="E244" s="145"/>
      <c r="F244" s="1" t="s">
        <v>103</v>
      </c>
      <c r="G244" s="81"/>
      <c r="H244" s="99"/>
      <c r="I244" s="78">
        <f t="shared" si="29"/>
        <v>0</v>
      </c>
      <c r="J244" s="78">
        <f t="shared" si="23"/>
        <v>0</v>
      </c>
      <c r="K244" s="81">
        <v>1700</v>
      </c>
      <c r="L244" s="58">
        <f>(IF(G244="",0,IFERROR(VLOOKUP(G244, 'CO2e Factors'!$C$10:$F$79, 4, FALSE) * I244, "")))</f>
        <v>0</v>
      </c>
      <c r="M244" s="101"/>
      <c r="N244" s="57">
        <f>('CO2e Factors'!$F$82*'Emissions for Pavement Options'!J244*'Emissions for Pavement Options'!M244)+('CO2e Factors'!$F$83*'Emissions for Pavement Options'!M244)</f>
        <v>0</v>
      </c>
      <c r="O244" s="41">
        <f t="shared" si="28"/>
        <v>0</v>
      </c>
      <c r="P244" s="155"/>
    </row>
    <row r="245" spans="3:17" ht="14.5" customHeight="1" x14ac:dyDescent="0.35">
      <c r="C245" s="145"/>
      <c r="D245" s="145"/>
      <c r="E245" s="145"/>
      <c r="F245" s="1" t="s">
        <v>102</v>
      </c>
      <c r="G245" s="81"/>
      <c r="H245" s="99"/>
      <c r="I245" s="78">
        <f t="shared" si="29"/>
        <v>0</v>
      </c>
      <c r="J245" s="78">
        <f t="shared" si="23"/>
        <v>0</v>
      </c>
      <c r="K245" s="81">
        <v>1700</v>
      </c>
      <c r="L245" s="58">
        <f>(IF(G245="",0,IFERROR(VLOOKUP(G245, 'CO2e Factors'!$C$10:$F$79, 4, FALSE) * I245, "")))</f>
        <v>0</v>
      </c>
      <c r="M245" s="101"/>
      <c r="N245" s="57">
        <f>('CO2e Factors'!$F$82*'Emissions for Pavement Options'!J245*'Emissions for Pavement Options'!M245)+('CO2e Factors'!$F$83*'Emissions for Pavement Options'!M245)</f>
        <v>0</v>
      </c>
      <c r="O245" s="41">
        <f t="shared" si="28"/>
        <v>0</v>
      </c>
      <c r="P245" s="155"/>
    </row>
    <row r="246" spans="3:17" ht="14.5" customHeight="1" x14ac:dyDescent="0.35">
      <c r="C246" s="145"/>
      <c r="D246" s="145"/>
      <c r="E246" s="145"/>
      <c r="F246" s="1" t="s">
        <v>104</v>
      </c>
      <c r="G246" s="81"/>
      <c r="H246" s="99"/>
      <c r="I246" s="78">
        <f t="shared" si="29"/>
        <v>0</v>
      </c>
      <c r="J246" s="78">
        <f t="shared" si="23"/>
        <v>0</v>
      </c>
      <c r="K246" s="81">
        <v>2400</v>
      </c>
      <c r="L246" s="58">
        <f>(IF(G246="",0,IFERROR(VLOOKUP(G246, 'CO2e Factors'!$C$10:$F$79, 4, FALSE) * I246, "")))</f>
        <v>0</v>
      </c>
      <c r="M246" s="101"/>
      <c r="N246" s="57">
        <f>('CO2e Factors'!$F$82*'Emissions for Pavement Options'!J246*'Emissions for Pavement Options'!M246)+('CO2e Factors'!$F$83*'Emissions for Pavement Options'!M246)</f>
        <v>0</v>
      </c>
      <c r="O246" s="41">
        <f t="shared" si="28"/>
        <v>0</v>
      </c>
      <c r="P246" s="155"/>
    </row>
    <row r="247" spans="3:17" ht="14.5" customHeight="1" x14ac:dyDescent="0.35">
      <c r="C247" s="145"/>
      <c r="D247" s="145"/>
      <c r="E247" s="145"/>
      <c r="F247" s="1" t="s">
        <v>105</v>
      </c>
      <c r="G247" s="81"/>
      <c r="H247" s="99"/>
      <c r="I247" s="78">
        <f t="shared" si="29"/>
        <v>0</v>
      </c>
      <c r="J247" s="78">
        <f t="shared" si="23"/>
        <v>0</v>
      </c>
      <c r="K247" s="81">
        <v>2400</v>
      </c>
      <c r="L247" s="58">
        <f>(IF(G247="",0,IFERROR(VLOOKUP(G247, 'CO2e Factors'!$C$10:$F$79, 4, FALSE) * I247, "")))</f>
        <v>0</v>
      </c>
      <c r="M247" s="101"/>
      <c r="N247" s="57">
        <f>('CO2e Factors'!$F$82*'Emissions for Pavement Options'!J247*'Emissions for Pavement Options'!M247)+('CO2e Factors'!$F$83*'Emissions for Pavement Options'!M247)</f>
        <v>0</v>
      </c>
      <c r="O247" s="41">
        <f t="shared" si="28"/>
        <v>0</v>
      </c>
      <c r="P247" s="155"/>
      <c r="Q247" t="s">
        <v>252</v>
      </c>
    </row>
    <row r="248" spans="3:17" ht="14.5" customHeight="1" x14ac:dyDescent="0.35">
      <c r="C248" s="145"/>
      <c r="D248" s="145"/>
      <c r="E248" s="145"/>
      <c r="F248" s="1" t="s">
        <v>106</v>
      </c>
      <c r="G248" s="81"/>
      <c r="H248" s="99"/>
      <c r="I248" s="78">
        <f>$D$236*$E$236*1000</f>
        <v>400000</v>
      </c>
      <c r="J248" s="78">
        <f>I248*K248*(H248/1000)/1000</f>
        <v>0</v>
      </c>
      <c r="K248" s="81">
        <v>1800</v>
      </c>
      <c r="L248" s="58">
        <f>(IF(G248="",0,IFERROR(VLOOKUP(G248, 'CO2e Factors'!$C$10:$F$79, 4, FALSE) * I248, "")))</f>
        <v>0</v>
      </c>
      <c r="M248" s="101"/>
      <c r="N248" s="57">
        <f>('CO2e Factors'!$F$82*'Emissions for Pavement Options'!J248*'Emissions for Pavement Options'!M248)+('CO2e Factors'!$F$83*'Emissions for Pavement Options'!M248)</f>
        <v>0</v>
      </c>
      <c r="O248" s="41">
        <f t="shared" si="28"/>
        <v>0</v>
      </c>
      <c r="P248" s="155"/>
    </row>
    <row r="249" spans="3:17" ht="14.5" customHeight="1" x14ac:dyDescent="0.35">
      <c r="C249" s="145"/>
      <c r="D249" s="145"/>
      <c r="E249" s="145"/>
      <c r="F249" s="1" t="s">
        <v>184</v>
      </c>
      <c r="G249" s="81"/>
      <c r="H249" s="99"/>
      <c r="I249" s="78">
        <f>$D$236*$E$236*H249</f>
        <v>0</v>
      </c>
      <c r="J249" s="78">
        <f>I249*K249/1000</f>
        <v>0</v>
      </c>
      <c r="K249" s="81">
        <v>2400</v>
      </c>
      <c r="L249" s="58">
        <f>(IF(G249="",0,IFERROR(VLOOKUP(G249, 'CO2e Factors'!$C$10:$F$79, 4, FALSE) * I249, "")))</f>
        <v>0</v>
      </c>
      <c r="M249" s="101"/>
      <c r="N249" s="57">
        <f>('CO2e Factors'!$F$82*'Emissions for Pavement Options'!J249*'Emissions for Pavement Options'!M249)+('CO2e Factors'!$F$83*'Emissions for Pavement Options'!M249)</f>
        <v>0</v>
      </c>
      <c r="O249" s="41">
        <f t="shared" si="28"/>
        <v>0</v>
      </c>
      <c r="P249" s="155"/>
    </row>
    <row r="250" spans="3:17" ht="14.5" customHeight="1" x14ac:dyDescent="0.35">
      <c r="C250" s="145"/>
      <c r="D250" s="145"/>
      <c r="E250" s="145"/>
      <c r="F250" s="1" t="s">
        <v>185</v>
      </c>
      <c r="G250" s="81"/>
      <c r="H250" s="99"/>
      <c r="I250" s="78">
        <f>$D$236*$E$236*1000</f>
        <v>400000</v>
      </c>
      <c r="J250" s="78">
        <f>I250*K250*(H250/1000)/1000</f>
        <v>0</v>
      </c>
      <c r="K250" s="81">
        <v>1800</v>
      </c>
      <c r="L250" s="58">
        <f>(IF(G250="",0,IFERROR(VLOOKUP(G250, 'CO2e Factors'!$C$10:$F$79, 4, FALSE) * I250, "")))</f>
        <v>0</v>
      </c>
      <c r="M250" s="101"/>
      <c r="N250" s="57">
        <f>('CO2e Factors'!$F$82*'Emissions for Pavement Options'!J250*'Emissions for Pavement Options'!M250)+('CO2e Factors'!$F$83*'Emissions for Pavement Options'!M250)</f>
        <v>0</v>
      </c>
      <c r="O250" s="41">
        <f t="shared" si="28"/>
        <v>0</v>
      </c>
      <c r="P250" s="155"/>
    </row>
    <row r="251" spans="3:17" ht="14.5" customHeight="1" x14ac:dyDescent="0.35">
      <c r="C251" s="145"/>
      <c r="D251" s="145"/>
      <c r="E251" s="145"/>
      <c r="F251" s="1" t="s">
        <v>188</v>
      </c>
      <c r="G251" s="81"/>
      <c r="H251" s="99"/>
      <c r="I251" s="78">
        <f>$D$236*$E$236</f>
        <v>400</v>
      </c>
      <c r="J251" s="78">
        <f t="shared" si="23"/>
        <v>400</v>
      </c>
      <c r="K251" s="81">
        <v>1000</v>
      </c>
      <c r="L251" s="58">
        <f>(IF(G251="",0,IFERROR(VLOOKUP(G251, 'CO2e Factors'!$C$10:$F$79, 4, FALSE) * I251, "")))*1000</f>
        <v>0</v>
      </c>
      <c r="M251" s="101"/>
      <c r="N251" s="57">
        <f>('CO2e Factors'!$F$82*'Emissions for Pavement Options'!J251*'Emissions for Pavement Options'!M251)+('CO2e Factors'!$F$83*'Emissions for Pavement Options'!M251)</f>
        <v>0</v>
      </c>
      <c r="O251" s="41">
        <f t="shared" si="28"/>
        <v>0</v>
      </c>
      <c r="P251" s="155"/>
    </row>
    <row r="252" spans="3:17" ht="14.5" customHeight="1" x14ac:dyDescent="0.35">
      <c r="C252" s="145"/>
      <c r="D252" s="145"/>
      <c r="E252" s="145"/>
      <c r="F252" s="1" t="s">
        <v>189</v>
      </c>
      <c r="G252" s="81"/>
      <c r="H252" s="99"/>
      <c r="I252" s="78">
        <f>$D$236*$E$236</f>
        <v>400</v>
      </c>
      <c r="J252" s="78">
        <f t="shared" si="23"/>
        <v>400</v>
      </c>
      <c r="K252" s="81">
        <v>1000</v>
      </c>
      <c r="L252" s="58">
        <f>(IF(G252="",0,IFERROR(VLOOKUP(G252, 'CO2e Factors'!$C$10:$F$79, 4, FALSE) * I252, "")))*1000</f>
        <v>0</v>
      </c>
      <c r="M252" s="101"/>
      <c r="N252" s="57">
        <f>('CO2e Factors'!$F$82*'Emissions for Pavement Options'!J252*'Emissions for Pavement Options'!M252)+('CO2e Factors'!$F$83*'Emissions for Pavement Options'!M252)</f>
        <v>0</v>
      </c>
      <c r="O252" s="41">
        <f t="shared" si="28"/>
        <v>0</v>
      </c>
      <c r="P252" s="155"/>
    </row>
    <row r="253" spans="3:17" ht="14.5" customHeight="1" x14ac:dyDescent="0.35">
      <c r="C253" s="145"/>
      <c r="D253" s="145"/>
      <c r="E253" s="145"/>
      <c r="F253" s="1" t="s">
        <v>195</v>
      </c>
      <c r="G253" s="81"/>
      <c r="H253" s="99"/>
      <c r="I253" s="78">
        <f>$D$236*$E$236</f>
        <v>400</v>
      </c>
      <c r="J253" s="78">
        <f t="shared" si="23"/>
        <v>400</v>
      </c>
      <c r="K253" s="81">
        <v>1000</v>
      </c>
      <c r="L253" s="58">
        <f>(IF(G253="",0,IFERROR(VLOOKUP(G253, 'CO2e Factors'!$C$10:$F$79, 4, FALSE) * I253, "")))*1000</f>
        <v>0</v>
      </c>
      <c r="M253" s="101"/>
      <c r="N253" s="57">
        <f>('CO2e Factors'!$F$82*'Emissions for Pavement Options'!J253*'Emissions for Pavement Options'!M253)+('CO2e Factors'!$F$83*'Emissions for Pavement Options'!M253)</f>
        <v>0</v>
      </c>
      <c r="O253" s="41">
        <f t="shared" si="28"/>
        <v>0</v>
      </c>
      <c r="P253" s="155"/>
    </row>
    <row r="254" spans="3:17" ht="14.5" customHeight="1" x14ac:dyDescent="0.35">
      <c r="C254" s="145"/>
      <c r="D254" s="145"/>
      <c r="E254" s="145"/>
      <c r="F254" s="1" t="s">
        <v>186</v>
      </c>
      <c r="G254" s="81"/>
      <c r="H254" s="99"/>
      <c r="I254" s="78">
        <f>$D$236*$E$236*H254</f>
        <v>0</v>
      </c>
      <c r="J254" s="78">
        <f t="shared" si="23"/>
        <v>0</v>
      </c>
      <c r="K254" s="81">
        <v>2400</v>
      </c>
      <c r="L254" s="58">
        <f>(IF(G254="",0,IFERROR(VLOOKUP(G254, 'CO2e Factors'!$C$10:$F$79, 4, FALSE) * I254, "")))</f>
        <v>0</v>
      </c>
      <c r="M254" s="101"/>
      <c r="N254" s="57">
        <f>('CO2e Factors'!$F$82*'Emissions for Pavement Options'!J254*'Emissions for Pavement Options'!M254)+('CO2e Factors'!$F$83*'Emissions for Pavement Options'!M254)</f>
        <v>0</v>
      </c>
      <c r="O254" s="41">
        <f t="shared" si="28"/>
        <v>0</v>
      </c>
      <c r="P254" s="155"/>
    </row>
    <row r="255" spans="3:17" ht="14.5" customHeight="1" x14ac:dyDescent="0.35">
      <c r="C255" s="146"/>
      <c r="D255" s="146"/>
      <c r="E255" s="146"/>
      <c r="F255" s="1" t="s">
        <v>187</v>
      </c>
      <c r="G255" s="81"/>
      <c r="H255" s="99"/>
      <c r="I255" s="78"/>
      <c r="J255" s="78"/>
      <c r="K255" s="81">
        <v>7750</v>
      </c>
      <c r="L255" s="58">
        <f>(IF(G255="",0,IFERROR(VLOOKUP(G255, 'CO2e Factors'!$C$10:$F$79, 4, FALSE) * J255, "")))</f>
        <v>0</v>
      </c>
      <c r="M255" s="101"/>
      <c r="N255" s="57">
        <f>('CO2e Factors'!$F$82*'Emissions for Pavement Options'!J255*'Emissions for Pavement Options'!M255)+('CO2e Factors'!$F$83*'Emissions for Pavement Options'!M255)</f>
        <v>0</v>
      </c>
      <c r="O255" s="41">
        <f t="shared" si="28"/>
        <v>0</v>
      </c>
      <c r="P255" s="156"/>
    </row>
    <row r="256" spans="3:17" ht="21" x14ac:dyDescent="0.5">
      <c r="C256" s="151" t="s">
        <v>162</v>
      </c>
      <c r="D256" s="152"/>
      <c r="E256" s="152"/>
      <c r="F256" s="152"/>
      <c r="G256" s="152"/>
      <c r="H256" s="152"/>
      <c r="I256" s="152"/>
      <c r="J256" s="152"/>
      <c r="K256" s="152"/>
      <c r="L256" s="152"/>
      <c r="M256" s="152"/>
      <c r="N256" s="152"/>
      <c r="O256" s="153"/>
      <c r="P256" s="59">
        <f>P196+P216+P236</f>
        <v>0</v>
      </c>
    </row>
  </sheetData>
  <sheetProtection algorithmName="SHA-512" hashValue="T9EbChky7dFqcNxu3Qp35W3LfagsNaVw4nWp76aUm8p1ghxJxpUpH0NFMzjgD6IGB2yxvBbMHupmJZpvt2/Ubw==" saltValue="TQv+QNDhYdtGy+WFoE+ibw==" spinCount="100000" sheet="1" objects="1" scenarios="1" formatCells="0" formatColumns="0" formatRows="0" insertHyperlinks="0" sort="0" autoFilter="0"/>
  <mergeCells count="52">
    <mergeCell ref="C44:C63"/>
    <mergeCell ref="D44:D63"/>
    <mergeCell ref="E44:E63"/>
    <mergeCell ref="P44:P63"/>
    <mergeCell ref="C4:C23"/>
    <mergeCell ref="D4:D23"/>
    <mergeCell ref="E4:E23"/>
    <mergeCell ref="P4:P23"/>
    <mergeCell ref="C24:C43"/>
    <mergeCell ref="D24:D43"/>
    <mergeCell ref="E24:E43"/>
    <mergeCell ref="P24:P43"/>
    <mergeCell ref="C88:C107"/>
    <mergeCell ref="D88:D107"/>
    <mergeCell ref="E88:E107"/>
    <mergeCell ref="P88:P107"/>
    <mergeCell ref="C68:C87"/>
    <mergeCell ref="D68:D87"/>
    <mergeCell ref="E68:E87"/>
    <mergeCell ref="P68:P87"/>
    <mergeCell ref="P108:P127"/>
    <mergeCell ref="C256:O256"/>
    <mergeCell ref="C192:O192"/>
    <mergeCell ref="C128:O128"/>
    <mergeCell ref="C196:C215"/>
    <mergeCell ref="D196:D215"/>
    <mergeCell ref="E196:E215"/>
    <mergeCell ref="P196:P215"/>
    <mergeCell ref="C132:C151"/>
    <mergeCell ref="D132:D151"/>
    <mergeCell ref="E132:E151"/>
    <mergeCell ref="P132:P151"/>
    <mergeCell ref="C152:C171"/>
    <mergeCell ref="D152:D171"/>
    <mergeCell ref="E152:E171"/>
    <mergeCell ref="P172:P191"/>
    <mergeCell ref="C64:O64"/>
    <mergeCell ref="P216:P235"/>
    <mergeCell ref="C236:C255"/>
    <mergeCell ref="D236:D255"/>
    <mergeCell ref="E236:E255"/>
    <mergeCell ref="P236:P255"/>
    <mergeCell ref="C216:C235"/>
    <mergeCell ref="D216:D235"/>
    <mergeCell ref="E216:E235"/>
    <mergeCell ref="P152:P171"/>
    <mergeCell ref="C172:C191"/>
    <mergeCell ref="D172:D191"/>
    <mergeCell ref="E172:E191"/>
    <mergeCell ref="C108:C127"/>
    <mergeCell ref="D108:D127"/>
    <mergeCell ref="E108:E127"/>
  </mergeCells>
  <pageMargins left="0.7" right="0.7" top="0.75" bottom="0.75" header="0.3" footer="0.3"/>
  <legacyDrawing r:id="rId1"/>
  <extLst>
    <ext xmlns:x14="http://schemas.microsoft.com/office/spreadsheetml/2009/9/main" uri="{CCE6A557-97BC-4b89-ADB6-D9C93CAAB3DF}">
      <x14:dataValidations xmlns:xm="http://schemas.microsoft.com/office/excel/2006/main" count="10">
        <x14:dataValidation type="list" allowBlank="1" showInputMessage="1" showErrorMessage="1" error="Use dropdown list" xr:uid="{64BD7F48-85FB-41A2-957A-4E4ABF469C3F}">
          <x14:formula1>
            <xm:f>'Materials Unit Costs'!$C$44:$C$48</xm:f>
          </x14:formula1>
          <xm:sqref>G14:G15 G249 G246:G247 G229 G226:G227 G209 G206:G207 G185 G182:G183 G165 G162:G163 G145 G142:G143 G121 G118:G119 G101 G98:G99 G81 G78:G79 G57 G54:G55 G37 G34:G35 G17</xm:sqref>
        </x14:dataValidation>
        <x14:dataValidation type="list" allowBlank="1" showInputMessage="1" showErrorMessage="1" error="Use dropdown list" xr:uid="{0CE30958-6DCD-4533-9D55-D313CBC729A1}">
          <x14:formula1>
            <xm:f>'Materials Unit Costs'!$C$40:$C$43</xm:f>
          </x14:formula1>
          <xm:sqref>G16 G250 G248 G230 G228 G210 G208 G186 G184 G166 G164 G146 G144 G122 G120 G102 G100 G82 G80 G58 G56 G38 G36 G18</xm:sqref>
        </x14:dataValidation>
        <x14:dataValidation type="list" allowBlank="1" showInputMessage="1" showErrorMessage="1" error="Use dropdown list" xr:uid="{8915E863-4F96-4A89-9C13-0A4F63E22073}">
          <x14:formula1>
            <xm:f>'Materials Unit Costs'!$C$79</xm:f>
          </x14:formula1>
          <xm:sqref>G23 G43 G63 G87 G107 G127 G151 G171 G191 G215 G235 G255</xm:sqref>
        </x14:dataValidation>
        <x14:dataValidation type="list" allowBlank="1" showInputMessage="1" showErrorMessage="1" error="Use dropdown list" xr:uid="{1C253D19-67A5-4684-BBC9-F47098A198BC}">
          <x14:formula1>
            <xm:f>'Materials Unit Costs'!$C$53</xm:f>
          </x14:formula1>
          <xm:sqref>G20 G40 G60 G84 G104 G124 G148 G168 G188 G212 G232 G252</xm:sqref>
        </x14:dataValidation>
        <x14:dataValidation type="list" allowBlank="1" showInputMessage="1" showErrorMessage="1" error="Use dropdown list" xr:uid="{34589D32-2047-46AF-809A-8CDAFDD0C078}">
          <x14:formula1>
            <xm:f>'Materials Unit Costs'!$C$54</xm:f>
          </x14:formula1>
          <xm:sqref>G21 G41 G61 G85 G105 G125 G149 G169 G189 G213 G233 G253</xm:sqref>
        </x14:dataValidation>
        <x14:dataValidation type="list" allowBlank="1" showInputMessage="1" showErrorMessage="1" error="Use dropdown list" xr:uid="{F2C413F8-DACF-4B19-BDFA-006AE1B6A6A2}">
          <x14:formula1>
            <xm:f>'Materials Unit Costs'!$C$49:$C$52</xm:f>
          </x14:formula1>
          <xm:sqref>G39 G19 G59 G83 G103 G123 G147 G167 G187 G211 G231 G251</xm:sqref>
        </x14:dataValidation>
        <x14:dataValidation type="list" allowBlank="1" showInputMessage="1" showErrorMessage="1" error="Use dropdown list" xr:uid="{85F29D30-EC2B-46D0-88F2-DA4AB8F10D39}">
          <x14:formula1>
            <xm:f>'Materials Unit Costs'!$C$58:$C$77</xm:f>
          </x14:formula1>
          <xm:sqref>G22 G42 G62 G86 G106 G126 G150 G170 G190 G214 G234 G254</xm:sqref>
        </x14:dataValidation>
        <x14:dataValidation type="list" allowBlank="1" showInputMessage="1" showErrorMessage="1" error="Use dropdown list" xr:uid="{4D2C7F5D-0654-4E26-B16E-2BF7023E6D55}">
          <x14:formula1>
            <xm:f>'Materials Unit Costs'!$C$42:$C$48</xm:f>
          </x14:formula1>
          <xm:sqref>G65</xm:sqref>
        </x14:dataValidation>
        <x14:dataValidation type="list" allowBlank="1" showInputMessage="1" showErrorMessage="1" error="Use dropdown list" xr:uid="{2526CD4B-F4E0-472F-BE73-F207F954BDA9}">
          <x14:formula1>
            <xm:f>'Materials Unit Costs'!$C$16:$C$37</xm:f>
          </x14:formula1>
          <xm:sqref>G10:G13 G30:G33 G50:G53 G74:G77 G94:G97 G114:G117 G138:G141 G158:G161 G178:G181 G202:G205 G222:G225 G242:G245</xm:sqref>
        </x14:dataValidation>
        <x14:dataValidation type="list" allowBlank="1" showInputMessage="1" showErrorMessage="1" error="Use dropdown list" xr:uid="{7D94857E-250A-4ABF-9E20-8ABCA8D6BA8C}">
          <x14:formula1>
            <xm:f>'Materials Unit Costs'!$C$11:$C$13</xm:f>
          </x14:formula1>
          <xm:sqref>G8:G9 G240:G241 G220:G221 G200:G201 G176:G177 G156:G157 G136:G137 G112:G113 G92:G93 G72:G73 G48:G49 G28:G29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95D0-FA00-4BCD-9B89-30443E345CD1}">
  <sheetPr>
    <tabColor theme="6" tint="0.39997558519241921"/>
  </sheetPr>
  <dimension ref="C1:I58"/>
  <sheetViews>
    <sheetView topLeftCell="C1" workbookViewId="0">
      <selection activeCell="F6" sqref="F6"/>
    </sheetView>
  </sheetViews>
  <sheetFormatPr defaultRowHeight="14.5" x14ac:dyDescent="0.35"/>
  <cols>
    <col min="2" max="2" width="15.08984375" customWidth="1"/>
    <col min="3" max="3" width="15.54296875" customWidth="1"/>
    <col min="4" max="4" width="23.36328125" customWidth="1"/>
    <col min="5" max="5" width="43.90625" customWidth="1"/>
    <col min="6" max="6" width="15.7265625" customWidth="1"/>
    <col min="8" max="8" width="46.453125" customWidth="1"/>
    <col min="11" max="11" width="26.08984375" customWidth="1"/>
  </cols>
  <sheetData>
    <row r="1" spans="3:6" x14ac:dyDescent="0.35">
      <c r="D1" s="11" t="s">
        <v>307</v>
      </c>
    </row>
    <row r="2" spans="3:6" x14ac:dyDescent="0.35">
      <c r="C2" s="11" t="s">
        <v>126</v>
      </c>
    </row>
    <row r="3" spans="3:6" ht="49.5" customHeight="1" x14ac:dyDescent="0.35">
      <c r="C3" s="6" t="s">
        <v>109</v>
      </c>
      <c r="D3" s="10" t="s">
        <v>149</v>
      </c>
      <c r="E3" s="10" t="s">
        <v>151</v>
      </c>
      <c r="F3" s="10" t="s">
        <v>150</v>
      </c>
    </row>
    <row r="4" spans="3:6" x14ac:dyDescent="0.35">
      <c r="C4" s="148">
        <v>1</v>
      </c>
      <c r="D4" s="1" t="s">
        <v>131</v>
      </c>
      <c r="E4" s="21"/>
      <c r="F4" s="15"/>
    </row>
    <row r="5" spans="3:6" x14ac:dyDescent="0.35">
      <c r="C5" s="149"/>
      <c r="D5" s="1" t="s">
        <v>132</v>
      </c>
      <c r="E5" s="21"/>
      <c r="F5" s="15"/>
    </row>
    <row r="6" spans="3:6" x14ac:dyDescent="0.35">
      <c r="C6" s="148">
        <v>2</v>
      </c>
      <c r="D6" s="1" t="s">
        <v>131</v>
      </c>
      <c r="E6" s="21" t="s">
        <v>152</v>
      </c>
      <c r="F6" s="15">
        <v>8</v>
      </c>
    </row>
    <row r="7" spans="3:6" x14ac:dyDescent="0.35">
      <c r="C7" s="149"/>
      <c r="D7" s="1" t="s">
        <v>132</v>
      </c>
      <c r="E7" s="21"/>
      <c r="F7" s="15"/>
    </row>
    <row r="8" spans="3:6" x14ac:dyDescent="0.35">
      <c r="C8" s="148">
        <v>3</v>
      </c>
      <c r="D8" s="1" t="s">
        <v>131</v>
      </c>
      <c r="E8" s="21"/>
      <c r="F8" s="15"/>
    </row>
    <row r="9" spans="3:6" x14ac:dyDescent="0.35">
      <c r="C9" s="149"/>
      <c r="D9" s="1" t="s">
        <v>132</v>
      </c>
      <c r="E9" s="21" t="s">
        <v>153</v>
      </c>
      <c r="F9" s="15">
        <v>3</v>
      </c>
    </row>
    <row r="10" spans="3:6" x14ac:dyDescent="0.35">
      <c r="C10" s="157" t="s">
        <v>133</v>
      </c>
      <c r="D10" s="158"/>
      <c r="E10" s="159"/>
      <c r="F10" s="20">
        <f>AVERAGE(F4,F6,F8)</f>
        <v>8</v>
      </c>
    </row>
    <row r="11" spans="3:6" x14ac:dyDescent="0.35">
      <c r="C11" s="157" t="s">
        <v>134</v>
      </c>
      <c r="D11" s="158"/>
      <c r="E11" s="159"/>
      <c r="F11" s="20">
        <f>AVERAGE(F5,F7,F9)</f>
        <v>3</v>
      </c>
    </row>
    <row r="12" spans="3:6" x14ac:dyDescent="0.35">
      <c r="C12" s="12"/>
    </row>
    <row r="13" spans="3:6" x14ac:dyDescent="0.35">
      <c r="C13" s="11" t="s">
        <v>127</v>
      </c>
    </row>
    <row r="14" spans="3:6" ht="49.5" customHeight="1" x14ac:dyDescent="0.35">
      <c r="C14" s="6" t="s">
        <v>109</v>
      </c>
      <c r="D14" s="10" t="s">
        <v>149</v>
      </c>
      <c r="E14" s="10" t="s">
        <v>151</v>
      </c>
      <c r="F14" s="10" t="s">
        <v>150</v>
      </c>
    </row>
    <row r="15" spans="3:6" x14ac:dyDescent="0.35">
      <c r="C15" s="148">
        <v>1</v>
      </c>
      <c r="D15" s="1" t="s">
        <v>131</v>
      </c>
      <c r="E15" s="21" t="s">
        <v>154</v>
      </c>
      <c r="F15" s="15">
        <v>5</v>
      </c>
    </row>
    <row r="16" spans="3:6" x14ac:dyDescent="0.35">
      <c r="C16" s="149"/>
      <c r="D16" s="1" t="s">
        <v>132</v>
      </c>
      <c r="E16" s="21" t="s">
        <v>155</v>
      </c>
      <c r="F16" s="15">
        <v>2</v>
      </c>
    </row>
    <row r="17" spans="3:6" x14ac:dyDescent="0.35">
      <c r="C17" s="148">
        <v>2</v>
      </c>
      <c r="D17" s="1" t="s">
        <v>131</v>
      </c>
      <c r="E17" s="21"/>
      <c r="F17" s="15"/>
    </row>
    <row r="18" spans="3:6" x14ac:dyDescent="0.35">
      <c r="C18" s="149"/>
      <c r="D18" s="1" t="s">
        <v>132</v>
      </c>
      <c r="E18" s="21"/>
      <c r="F18" s="15"/>
    </row>
    <row r="19" spans="3:6" x14ac:dyDescent="0.35">
      <c r="C19" s="148">
        <v>3</v>
      </c>
      <c r="D19" s="1" t="s">
        <v>131</v>
      </c>
      <c r="E19" s="21"/>
      <c r="F19" s="15"/>
    </row>
    <row r="20" spans="3:6" x14ac:dyDescent="0.35">
      <c r="C20" s="149"/>
      <c r="D20" s="1" t="s">
        <v>132</v>
      </c>
      <c r="E20" s="21"/>
      <c r="F20" s="15"/>
    </row>
    <row r="21" spans="3:6" x14ac:dyDescent="0.35">
      <c r="C21" s="157" t="s">
        <v>133</v>
      </c>
      <c r="D21" s="158"/>
      <c r="E21" s="159"/>
      <c r="F21" s="20">
        <f>AVERAGE(F15,F17,F19)</f>
        <v>5</v>
      </c>
    </row>
    <row r="22" spans="3:6" x14ac:dyDescent="0.35">
      <c r="C22" s="157" t="s">
        <v>134</v>
      </c>
      <c r="D22" s="158"/>
      <c r="E22" s="159"/>
      <c r="F22" s="20">
        <f>AVERAGE(F16,F18,F20)</f>
        <v>2</v>
      </c>
    </row>
    <row r="24" spans="3:6" x14ac:dyDescent="0.35">
      <c r="C24" s="11" t="s">
        <v>128</v>
      </c>
    </row>
    <row r="25" spans="3:6" ht="49.5" customHeight="1" x14ac:dyDescent="0.35">
      <c r="C25" s="6" t="s">
        <v>109</v>
      </c>
      <c r="D25" s="10" t="s">
        <v>149</v>
      </c>
      <c r="E25" s="10" t="s">
        <v>151</v>
      </c>
      <c r="F25" s="10" t="s">
        <v>150</v>
      </c>
    </row>
    <row r="26" spans="3:6" x14ac:dyDescent="0.35">
      <c r="C26" s="148">
        <v>1</v>
      </c>
      <c r="D26" s="1" t="s">
        <v>131</v>
      </c>
      <c r="E26" s="21"/>
      <c r="F26" s="15"/>
    </row>
    <row r="27" spans="3:6" x14ac:dyDescent="0.35">
      <c r="C27" s="149"/>
      <c r="D27" s="1" t="s">
        <v>132</v>
      </c>
      <c r="E27" s="21"/>
      <c r="F27" s="15"/>
    </row>
    <row r="28" spans="3:6" x14ac:dyDescent="0.35">
      <c r="C28" s="148">
        <v>2</v>
      </c>
      <c r="D28" s="1" t="s">
        <v>131</v>
      </c>
      <c r="E28" s="21" t="s">
        <v>156</v>
      </c>
      <c r="F28" s="15"/>
    </row>
    <row r="29" spans="3:6" x14ac:dyDescent="0.35">
      <c r="C29" s="149"/>
      <c r="D29" s="1" t="s">
        <v>132</v>
      </c>
      <c r="E29" s="21" t="s">
        <v>155</v>
      </c>
      <c r="F29" s="15"/>
    </row>
    <row r="30" spans="3:6" x14ac:dyDescent="0.35">
      <c r="C30" s="148">
        <v>3</v>
      </c>
      <c r="D30" s="1" t="s">
        <v>131</v>
      </c>
      <c r="E30" s="21"/>
      <c r="F30" s="15"/>
    </row>
    <row r="31" spans="3:6" x14ac:dyDescent="0.35">
      <c r="C31" s="149"/>
      <c r="D31" s="1" t="s">
        <v>132</v>
      </c>
      <c r="E31" s="21"/>
      <c r="F31" s="15"/>
    </row>
    <row r="32" spans="3:6" x14ac:dyDescent="0.35">
      <c r="C32" s="157" t="s">
        <v>133</v>
      </c>
      <c r="D32" s="158"/>
      <c r="E32" s="159"/>
      <c r="F32" s="20"/>
    </row>
    <row r="33" spans="3:9" x14ac:dyDescent="0.35">
      <c r="C33" s="157" t="s">
        <v>134</v>
      </c>
      <c r="D33" s="158"/>
      <c r="E33" s="159"/>
      <c r="F33" s="20"/>
    </row>
    <row r="35" spans="3:9" x14ac:dyDescent="0.35">
      <c r="C35" s="11" t="s">
        <v>129</v>
      </c>
    </row>
    <row r="36" spans="3:9" ht="49.5" customHeight="1" x14ac:dyDescent="0.35">
      <c r="C36" s="6" t="s">
        <v>109</v>
      </c>
      <c r="D36" s="10" t="s">
        <v>149</v>
      </c>
      <c r="E36" s="10" t="s">
        <v>151</v>
      </c>
      <c r="F36" s="10" t="s">
        <v>150</v>
      </c>
    </row>
    <row r="37" spans="3:9" x14ac:dyDescent="0.35">
      <c r="C37" s="148">
        <v>1</v>
      </c>
      <c r="D37" s="1" t="s">
        <v>131</v>
      </c>
      <c r="E37" s="21"/>
      <c r="F37" s="15"/>
    </row>
    <row r="38" spans="3:9" x14ac:dyDescent="0.35">
      <c r="C38" s="149"/>
      <c r="D38" s="1" t="s">
        <v>132</v>
      </c>
      <c r="E38" s="21"/>
      <c r="F38" s="15"/>
    </row>
    <row r="39" spans="3:9" x14ac:dyDescent="0.35">
      <c r="C39" s="148">
        <v>2</v>
      </c>
      <c r="D39" s="1" t="s">
        <v>131</v>
      </c>
      <c r="E39" s="21"/>
      <c r="F39" s="15"/>
    </row>
    <row r="40" spans="3:9" x14ac:dyDescent="0.35">
      <c r="C40" s="149"/>
      <c r="D40" s="1" t="s">
        <v>132</v>
      </c>
      <c r="E40" s="21"/>
      <c r="F40" s="15"/>
    </row>
    <row r="41" spans="3:9" x14ac:dyDescent="0.35">
      <c r="C41" s="148">
        <v>2</v>
      </c>
      <c r="D41" s="1" t="s">
        <v>131</v>
      </c>
      <c r="E41" s="21" t="s">
        <v>158</v>
      </c>
      <c r="F41" s="15"/>
    </row>
    <row r="42" spans="3:9" x14ac:dyDescent="0.35">
      <c r="C42" s="149"/>
      <c r="D42" s="1" t="s">
        <v>132</v>
      </c>
      <c r="E42" s="21" t="s">
        <v>157</v>
      </c>
      <c r="F42" s="15"/>
    </row>
    <row r="43" spans="3:9" x14ac:dyDescent="0.35">
      <c r="C43" s="157" t="s">
        <v>133</v>
      </c>
      <c r="D43" s="158"/>
      <c r="E43" s="159"/>
      <c r="F43" s="20"/>
    </row>
    <row r="44" spans="3:9" x14ac:dyDescent="0.35">
      <c r="C44" s="157" t="s">
        <v>134</v>
      </c>
      <c r="D44" s="158"/>
      <c r="E44" s="159"/>
      <c r="F44" s="20"/>
    </row>
    <row r="48" spans="3:9" x14ac:dyDescent="0.35">
      <c r="E48" s="2" t="s">
        <v>24</v>
      </c>
      <c r="F48" s="7" t="s">
        <v>5</v>
      </c>
      <c r="H48" s="2" t="s">
        <v>30</v>
      </c>
      <c r="I48" s="7" t="s">
        <v>5</v>
      </c>
    </row>
    <row r="49" spans="5:9" ht="159.5" x14ac:dyDescent="0.35">
      <c r="E49" s="4" t="s">
        <v>23</v>
      </c>
      <c r="F49" s="1">
        <v>10</v>
      </c>
      <c r="H49" s="5" t="s">
        <v>25</v>
      </c>
      <c r="I49" s="1">
        <v>5</v>
      </c>
    </row>
    <row r="50" spans="5:9" ht="116" x14ac:dyDescent="0.35">
      <c r="E50" s="4" t="s">
        <v>22</v>
      </c>
      <c r="F50" s="1">
        <v>9</v>
      </c>
      <c r="H50" s="5" t="s">
        <v>26</v>
      </c>
      <c r="I50" s="1">
        <v>4</v>
      </c>
    </row>
    <row r="51" spans="5:9" ht="116" x14ac:dyDescent="0.35">
      <c r="E51" s="4" t="s">
        <v>21</v>
      </c>
      <c r="F51" s="1">
        <v>8</v>
      </c>
      <c r="H51" s="5" t="s">
        <v>27</v>
      </c>
      <c r="I51" s="1">
        <v>3</v>
      </c>
    </row>
    <row r="52" spans="5:9" ht="87" x14ac:dyDescent="0.35">
      <c r="E52" s="4" t="s">
        <v>20</v>
      </c>
      <c r="F52" s="1">
        <v>7</v>
      </c>
      <c r="H52" s="5" t="s">
        <v>28</v>
      </c>
      <c r="I52" s="1">
        <v>2</v>
      </c>
    </row>
    <row r="53" spans="5:9" ht="87" x14ac:dyDescent="0.35">
      <c r="E53" s="4" t="s">
        <v>19</v>
      </c>
      <c r="F53" s="1">
        <v>6</v>
      </c>
      <c r="H53" s="5" t="s">
        <v>29</v>
      </c>
      <c r="I53" s="1">
        <v>1</v>
      </c>
    </row>
    <row r="54" spans="5:9" ht="72.5" x14ac:dyDescent="0.35">
      <c r="E54" s="4" t="s">
        <v>18</v>
      </c>
      <c r="F54" s="1">
        <v>5</v>
      </c>
    </row>
    <row r="55" spans="5:9" ht="72.5" x14ac:dyDescent="0.35">
      <c r="E55" s="4" t="s">
        <v>17</v>
      </c>
      <c r="F55" s="1">
        <v>4</v>
      </c>
    </row>
    <row r="56" spans="5:9" ht="72.5" x14ac:dyDescent="0.35">
      <c r="E56" s="4" t="s">
        <v>16</v>
      </c>
      <c r="F56" s="1">
        <v>3</v>
      </c>
    </row>
    <row r="57" spans="5:9" ht="72.5" x14ac:dyDescent="0.35">
      <c r="E57" s="4" t="s">
        <v>15</v>
      </c>
      <c r="F57" s="1">
        <v>2</v>
      </c>
    </row>
    <row r="58" spans="5:9" ht="58" x14ac:dyDescent="0.35">
      <c r="E58" s="4" t="s">
        <v>14</v>
      </c>
      <c r="F58" s="1">
        <v>1</v>
      </c>
    </row>
  </sheetData>
  <mergeCells count="20">
    <mergeCell ref="C39:C40"/>
    <mergeCell ref="C26:C27"/>
    <mergeCell ref="C17:C18"/>
    <mergeCell ref="C19:C20"/>
    <mergeCell ref="C15:C16"/>
    <mergeCell ref="C44:E44"/>
    <mergeCell ref="C43:E43"/>
    <mergeCell ref="C8:C9"/>
    <mergeCell ref="C4:C5"/>
    <mergeCell ref="C6:C7"/>
    <mergeCell ref="C41:C42"/>
    <mergeCell ref="C37:C38"/>
    <mergeCell ref="C28:C29"/>
    <mergeCell ref="C30:C31"/>
    <mergeCell ref="C32:E32"/>
    <mergeCell ref="C33:E33"/>
    <mergeCell ref="C10:E10"/>
    <mergeCell ref="C11:E11"/>
    <mergeCell ref="C21:E21"/>
    <mergeCell ref="C22:E22"/>
  </mergeCells>
  <dataValidations count="2">
    <dataValidation type="list" allowBlank="1" showInputMessage="1" showErrorMessage="1" error="Use dropdown list" sqref="F4 F6 F8 F15 F17 F19 F26 F28 F30 F37 F39 F41" xr:uid="{AA7A9A03-EF60-4ACB-8929-6508E002C78E}">
      <formula1>$F$49:$F$58</formula1>
    </dataValidation>
    <dataValidation type="list" allowBlank="1" showInputMessage="1" showErrorMessage="1" error="Use dropdown list" sqref="F5 F42 F31 F16 F18 F7 F27 F29 F20 F38 F40 F9" xr:uid="{2A3A15AE-E4E9-40F8-903B-716BE9A7EA18}">
      <formula1>$I$49:$I$53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Use dropdown list" xr:uid="{A705922A-3DA4-4DA9-A7A6-78F1850E404E}">
          <x14:formula1>
            <xm:f>'Materials Unit Costs'!$C$42:$C$48</xm:f>
          </x14:formula1>
          <xm:sqref>E12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9C19-851C-4765-B61C-E8FA3E8A816F}">
  <sheetPr>
    <tabColor rgb="FFFFFF00"/>
  </sheetPr>
  <dimension ref="B2:J64"/>
  <sheetViews>
    <sheetView topLeftCell="A18" workbookViewId="0">
      <selection activeCell="J15" sqref="J15"/>
    </sheetView>
  </sheetViews>
  <sheetFormatPr defaultRowHeight="14.5" x14ac:dyDescent="0.35"/>
  <cols>
    <col min="3" max="3" width="23.7265625" customWidth="1"/>
    <col min="4" max="4" width="12.6328125" customWidth="1"/>
    <col min="5" max="5" width="14.6328125" customWidth="1"/>
    <col min="6" max="6" width="12.6328125" customWidth="1"/>
    <col min="7" max="7" width="14.6328125" customWidth="1"/>
    <col min="8" max="8" width="12.6328125" customWidth="1"/>
    <col min="9" max="9" width="14.6328125" customWidth="1"/>
    <col min="10" max="10" width="18.81640625" customWidth="1"/>
  </cols>
  <sheetData>
    <row r="2" spans="2:10" ht="14.5" customHeight="1" x14ac:dyDescent="0.35">
      <c r="B2" s="164" t="s">
        <v>10</v>
      </c>
      <c r="C2" s="165" t="s">
        <v>13</v>
      </c>
      <c r="D2" s="166" t="s">
        <v>11</v>
      </c>
      <c r="E2" s="167"/>
      <c r="F2" s="166" t="s">
        <v>170</v>
      </c>
      <c r="G2" s="167"/>
      <c r="H2" s="166" t="s">
        <v>12</v>
      </c>
      <c r="I2" s="167"/>
      <c r="J2" s="163" t="s">
        <v>305</v>
      </c>
    </row>
    <row r="3" spans="2:10" x14ac:dyDescent="0.35">
      <c r="B3" s="164"/>
      <c r="C3" s="165"/>
      <c r="D3" s="168"/>
      <c r="E3" s="169"/>
      <c r="F3" s="168"/>
      <c r="G3" s="169"/>
      <c r="H3" s="168"/>
      <c r="I3" s="169"/>
      <c r="J3" s="163"/>
    </row>
    <row r="4" spans="2:10" ht="43.5" x14ac:dyDescent="0.35">
      <c r="B4" s="164"/>
      <c r="C4" s="165"/>
      <c r="D4" s="102" t="s">
        <v>181</v>
      </c>
      <c r="E4" s="102" t="s">
        <v>182</v>
      </c>
      <c r="F4" s="102" t="s">
        <v>181</v>
      </c>
      <c r="G4" s="102" t="s">
        <v>182</v>
      </c>
      <c r="H4" s="102" t="s">
        <v>181</v>
      </c>
      <c r="I4" s="102" t="s">
        <v>182</v>
      </c>
      <c r="J4" s="163"/>
    </row>
    <row r="5" spans="2:10" ht="14.5" customHeight="1" x14ac:dyDescent="0.35">
      <c r="B5" s="164"/>
      <c r="C5" s="1" t="s">
        <v>166</v>
      </c>
      <c r="D5" s="41">
        <f>'Pavement Options'!L15+'Pavement Options'!L16+'Pavement Options'!L19+'Pavement Options'!L20</f>
        <v>0.78</v>
      </c>
      <c r="E5" s="41">
        <f>'Pavement Options'!L17+'Pavement Options'!L18+'Pavement Options'!L21</f>
        <v>0.26</v>
      </c>
      <c r="F5" s="41">
        <f>'Pavement Options'!L35+'Pavement Options'!L36+'Pavement Options'!L39+'Pavement Options'!L40</f>
        <v>0.42000000000000004</v>
      </c>
      <c r="G5" s="41">
        <f>'Pavement Options'!L37+'Pavement Options'!L38+'Pavement Options'!L41</f>
        <v>0.14000000000000001</v>
      </c>
      <c r="H5" s="41">
        <f>'Pavement Options'!L55+'Pavement Options'!L56+'Pavement Options'!L59+'Pavement Options'!L60</f>
        <v>0.72</v>
      </c>
      <c r="I5" s="41">
        <f>'Pavement Options'!L57+'Pavement Options'!L58+'Pavement Options'!L61</f>
        <v>0.24</v>
      </c>
      <c r="J5" s="41">
        <f>SUM(D5+E5+F5+G5+H5+I5)</f>
        <v>2.5600000000000005</v>
      </c>
    </row>
    <row r="6" spans="2:10" ht="14.5" customHeight="1" x14ac:dyDescent="0.35">
      <c r="B6" s="164"/>
      <c r="C6" s="1" t="s">
        <v>167</v>
      </c>
      <c r="D6" s="41">
        <f>'Pavement Options'!L14</f>
        <v>0.70199999999999996</v>
      </c>
      <c r="E6" s="97"/>
      <c r="F6" s="41">
        <f>'Pavement Options'!L34</f>
        <v>0.378</v>
      </c>
      <c r="G6" s="97"/>
      <c r="H6" s="41">
        <f>'Pavement Options'!L54</f>
        <v>0.64800000000000002</v>
      </c>
      <c r="I6" s="97"/>
      <c r="J6" s="41">
        <f t="shared" ref="J6:J14" si="0">SUM(D6+E6+F6+G6+H6+I6)</f>
        <v>1.7280000000000002</v>
      </c>
    </row>
    <row r="7" spans="2:10" x14ac:dyDescent="0.35">
      <c r="B7" s="164"/>
      <c r="C7" s="1" t="s">
        <v>103</v>
      </c>
      <c r="D7" s="41">
        <f>'Pavement Options'!L12</f>
        <v>0.43225000000000002</v>
      </c>
      <c r="E7" s="160"/>
      <c r="F7" s="41">
        <f>'Pavement Options'!L32</f>
        <v>0.23275000000000001</v>
      </c>
      <c r="G7" s="160"/>
      <c r="H7" s="41">
        <f>'Pavement Options'!L52</f>
        <v>0.39900000000000002</v>
      </c>
      <c r="I7" s="160"/>
      <c r="J7" s="41">
        <f t="shared" si="0"/>
        <v>1.0640000000000001</v>
      </c>
    </row>
    <row r="8" spans="2:10" x14ac:dyDescent="0.35">
      <c r="B8" s="164"/>
      <c r="C8" s="1" t="s">
        <v>102</v>
      </c>
      <c r="D8" s="41">
        <f>'Pavement Options'!L13</f>
        <v>0</v>
      </c>
      <c r="E8" s="161"/>
      <c r="F8" s="41">
        <f>'Pavement Options'!L33</f>
        <v>0</v>
      </c>
      <c r="G8" s="161"/>
      <c r="H8" s="41">
        <f>'Pavement Options'!L53</f>
        <v>0</v>
      </c>
      <c r="I8" s="161"/>
      <c r="J8" s="41">
        <f t="shared" si="0"/>
        <v>0</v>
      </c>
    </row>
    <row r="9" spans="2:10" x14ac:dyDescent="0.35">
      <c r="B9" s="164"/>
      <c r="C9" s="1" t="s">
        <v>100</v>
      </c>
      <c r="D9" s="41">
        <f>'Pavement Options'!L10</f>
        <v>0.21124999999999999</v>
      </c>
      <c r="E9" s="161"/>
      <c r="F9" s="41">
        <f>'Pavement Options'!L30</f>
        <v>0.11375</v>
      </c>
      <c r="G9" s="161"/>
      <c r="H9" s="41">
        <f>'Pavement Options'!L50</f>
        <v>0.19500000000000001</v>
      </c>
      <c r="I9" s="161"/>
      <c r="J9" s="41">
        <f t="shared" si="0"/>
        <v>0.52</v>
      </c>
    </row>
    <row r="10" spans="2:10" x14ac:dyDescent="0.35">
      <c r="B10" s="164"/>
      <c r="C10" s="1" t="s">
        <v>101</v>
      </c>
      <c r="D10" s="41">
        <f>'Pavement Options'!L11</f>
        <v>0</v>
      </c>
      <c r="E10" s="161"/>
      <c r="F10" s="41">
        <f>'Pavement Options'!L31</f>
        <v>0</v>
      </c>
      <c r="G10" s="161"/>
      <c r="H10" s="41">
        <f>'Pavement Options'!L51</f>
        <v>0</v>
      </c>
      <c r="I10" s="161"/>
      <c r="J10" s="41">
        <f t="shared" si="0"/>
        <v>0</v>
      </c>
    </row>
    <row r="11" spans="2:10" x14ac:dyDescent="0.35">
      <c r="B11" s="164"/>
      <c r="C11" s="1" t="s">
        <v>168</v>
      </c>
      <c r="D11" s="41">
        <f>'Pavement Options'!L8</f>
        <v>0</v>
      </c>
      <c r="E11" s="161"/>
      <c r="F11" s="41">
        <f>'Pavement Options'!L28</f>
        <v>0</v>
      </c>
      <c r="G11" s="161"/>
      <c r="H11" s="41">
        <f>'Pavement Options'!L48</f>
        <v>0</v>
      </c>
      <c r="I11" s="161"/>
      <c r="J11" s="41">
        <f t="shared" si="0"/>
        <v>0</v>
      </c>
    </row>
    <row r="12" spans="2:10" x14ac:dyDescent="0.35">
      <c r="B12" s="164"/>
      <c r="C12" s="1" t="s">
        <v>169</v>
      </c>
      <c r="D12" s="41">
        <f>'Pavement Options'!L9</f>
        <v>6.8250000000000005E-2</v>
      </c>
      <c r="E12" s="161"/>
      <c r="F12" s="41">
        <f>'Pavement Options'!L29</f>
        <v>0</v>
      </c>
      <c r="G12" s="161"/>
      <c r="H12" s="41">
        <f>'Pavement Options'!L49</f>
        <v>0.105</v>
      </c>
      <c r="I12" s="161"/>
      <c r="J12" s="41">
        <f t="shared" si="0"/>
        <v>0.17325000000000002</v>
      </c>
    </row>
    <row r="13" spans="2:10" x14ac:dyDescent="0.35">
      <c r="B13" s="164"/>
      <c r="C13" s="1" t="s">
        <v>9</v>
      </c>
      <c r="D13" s="41">
        <f>'Pavement Options'!L4+'Pavement Options'!L5++'Pavement Options'!L6+'Pavement Options'!L7</f>
        <v>0.13143000000000002</v>
      </c>
      <c r="E13" s="162"/>
      <c r="F13" s="41">
        <f>'Pavement Options'!L24+'Pavement Options'!L25+'Pavement Options'!L26+'Pavement Options'!L27</f>
        <v>7.077E-2</v>
      </c>
      <c r="G13" s="162"/>
      <c r="H13" s="41">
        <f>'Pavement Options'!L44+'Pavement Options'!L45+'Pavement Options'!L46+'Pavement Options'!L47</f>
        <v>0.12132000000000001</v>
      </c>
      <c r="I13" s="162"/>
      <c r="J13" s="41">
        <f t="shared" si="0"/>
        <v>0.32352000000000003</v>
      </c>
    </row>
    <row r="14" spans="2:10" x14ac:dyDescent="0.35">
      <c r="B14" s="164"/>
      <c r="C14" s="27" t="s">
        <v>207</v>
      </c>
      <c r="D14" s="41">
        <f>'Pavement Options'!L22+'Pavement Options'!L23</f>
        <v>0</v>
      </c>
      <c r="E14" s="97"/>
      <c r="F14" s="61">
        <f>'Pavement Options'!L42+'Pavement Options'!L43</f>
        <v>0</v>
      </c>
      <c r="G14" s="97"/>
      <c r="H14" s="61">
        <f>'Pavement Options'!L62+'Pavement Options'!L63</f>
        <v>0</v>
      </c>
      <c r="I14" s="97"/>
      <c r="J14" s="41">
        <f t="shared" si="0"/>
        <v>0</v>
      </c>
    </row>
    <row r="15" spans="2:10" ht="16" x14ac:dyDescent="0.4">
      <c r="B15" s="164"/>
      <c r="C15" s="17" t="s">
        <v>135</v>
      </c>
      <c r="D15" s="41">
        <f t="shared" ref="D15:I15" si="1">SUM(D5:D14)</f>
        <v>2.32518</v>
      </c>
      <c r="E15" s="41">
        <f t="shared" si="1"/>
        <v>0.26</v>
      </c>
      <c r="F15" s="61">
        <f t="shared" si="1"/>
        <v>1.2152700000000001</v>
      </c>
      <c r="G15" s="61">
        <f t="shared" si="1"/>
        <v>0.14000000000000001</v>
      </c>
      <c r="H15" s="61">
        <f t="shared" si="1"/>
        <v>2.18832</v>
      </c>
      <c r="I15" s="61">
        <f t="shared" si="1"/>
        <v>0.24</v>
      </c>
      <c r="J15" s="62">
        <f>SUM(D15:I15)</f>
        <v>6.3687700000000014</v>
      </c>
    </row>
    <row r="16" spans="2:10" x14ac:dyDescent="0.35">
      <c r="B16" s="164"/>
      <c r="C16" s="16" t="s">
        <v>136</v>
      </c>
      <c r="D16" s="60">
        <f>D15+F15+H15</f>
        <v>5.7287699999999999</v>
      </c>
      <c r="E16" s="60">
        <f>E15+G15+I15</f>
        <v>0.64</v>
      </c>
      <c r="F16" s="14"/>
      <c r="G16" s="14"/>
      <c r="H16" s="14"/>
      <c r="I16" s="14"/>
    </row>
    <row r="18" spans="2:10" ht="14.5" customHeight="1" x14ac:dyDescent="0.35">
      <c r="B18" s="164" t="s">
        <v>171</v>
      </c>
      <c r="C18" s="165" t="s">
        <v>13</v>
      </c>
      <c r="D18" s="166" t="s">
        <v>11</v>
      </c>
      <c r="E18" s="167"/>
      <c r="F18" s="166" t="s">
        <v>170</v>
      </c>
      <c r="G18" s="167"/>
      <c r="H18" s="166" t="s">
        <v>12</v>
      </c>
      <c r="I18" s="167"/>
      <c r="J18" s="163" t="s">
        <v>305</v>
      </c>
    </row>
    <row r="19" spans="2:10" x14ac:dyDescent="0.35">
      <c r="B19" s="164"/>
      <c r="C19" s="165"/>
      <c r="D19" s="168"/>
      <c r="E19" s="169"/>
      <c r="F19" s="168"/>
      <c r="G19" s="169"/>
      <c r="H19" s="168"/>
      <c r="I19" s="169"/>
      <c r="J19" s="163"/>
    </row>
    <row r="20" spans="2:10" ht="43.5" x14ac:dyDescent="0.35">
      <c r="B20" s="164"/>
      <c r="C20" s="165"/>
      <c r="D20" s="102" t="s">
        <v>181</v>
      </c>
      <c r="E20" s="102" t="s">
        <v>182</v>
      </c>
      <c r="F20" s="102" t="s">
        <v>181</v>
      </c>
      <c r="G20" s="102" t="s">
        <v>182</v>
      </c>
      <c r="H20" s="102" t="s">
        <v>181</v>
      </c>
      <c r="I20" s="102" t="s">
        <v>182</v>
      </c>
      <c r="J20" s="163"/>
    </row>
    <row r="21" spans="2:10" ht="14.5" customHeight="1" x14ac:dyDescent="0.35">
      <c r="B21" s="164"/>
      <c r="C21" s="1" t="s">
        <v>166</v>
      </c>
      <c r="D21" s="41">
        <f>'Pavement Options'!L79+'Pavement Options'!L80+'Pavement Options'!L83+'Pavement Options'!L84</f>
        <v>0.78</v>
      </c>
      <c r="E21" s="41">
        <f>'Pavement Options'!L81+'Pavement Options'!L82+'Pavement Options'!L85</f>
        <v>0.26</v>
      </c>
      <c r="F21" s="41">
        <f>'Pavement Options'!L99+'Pavement Options'!L100+'Pavement Options'!L103+'Pavement Options'!L104</f>
        <v>0.42000000000000004</v>
      </c>
      <c r="G21" s="41">
        <f>'Pavement Options'!L101+'Pavement Options'!L102+'Pavement Options'!L105</f>
        <v>0.14000000000000001</v>
      </c>
      <c r="H21" s="41">
        <f>'Pavement Options'!L119+'Pavement Options'!L120+'Pavement Options'!L123+'Pavement Options'!L124</f>
        <v>0.72</v>
      </c>
      <c r="I21" s="41">
        <f>'Pavement Options'!L121+'Pavement Options'!L122+'Pavement Options'!L125</f>
        <v>0.24</v>
      </c>
      <c r="J21" s="41">
        <f>SUM(D21+E21+F21+G21+H21+I21)</f>
        <v>2.5600000000000005</v>
      </c>
    </row>
    <row r="22" spans="2:10" ht="14.5" customHeight="1" x14ac:dyDescent="0.35">
      <c r="B22" s="164"/>
      <c r="C22" s="1" t="s">
        <v>167</v>
      </c>
      <c r="D22" s="41">
        <f>'Pavement Options'!L78</f>
        <v>0.70199999999999996</v>
      </c>
      <c r="E22" s="97"/>
      <c r="F22" s="41">
        <f>'Pavement Options'!L98</f>
        <v>0.378</v>
      </c>
      <c r="G22" s="97"/>
      <c r="H22" s="41">
        <f>'Pavement Options'!L118</f>
        <v>0.64800000000000002</v>
      </c>
      <c r="I22" s="97"/>
      <c r="J22" s="41">
        <f t="shared" ref="J22:J30" si="2">SUM(D22+E22+F22+G22+H22+I22)</f>
        <v>1.7280000000000002</v>
      </c>
    </row>
    <row r="23" spans="2:10" x14ac:dyDescent="0.35">
      <c r="B23" s="164"/>
      <c r="C23" s="1" t="s">
        <v>103</v>
      </c>
      <c r="D23" s="41">
        <f>'Pavement Options'!L76</f>
        <v>0.3705</v>
      </c>
      <c r="E23" s="160"/>
      <c r="F23" s="41">
        <f>'Pavement Options'!L96</f>
        <v>0.19950000000000001</v>
      </c>
      <c r="G23" s="160"/>
      <c r="H23" s="41">
        <f>'Pavement Options'!L116</f>
        <v>0.34200000000000003</v>
      </c>
      <c r="I23" s="160"/>
      <c r="J23" s="41">
        <f t="shared" si="2"/>
        <v>0.91200000000000014</v>
      </c>
    </row>
    <row r="24" spans="2:10" x14ac:dyDescent="0.35">
      <c r="B24" s="164"/>
      <c r="C24" s="1" t="s">
        <v>102</v>
      </c>
      <c r="D24" s="41">
        <f>'Pavement Options'!L77</f>
        <v>0</v>
      </c>
      <c r="E24" s="161"/>
      <c r="F24" s="41">
        <f>'Pavement Options'!L97</f>
        <v>0</v>
      </c>
      <c r="G24" s="161"/>
      <c r="H24" s="41">
        <f>'Pavement Options'!L117</f>
        <v>0</v>
      </c>
      <c r="I24" s="161"/>
      <c r="J24" s="41">
        <f t="shared" si="2"/>
        <v>0</v>
      </c>
    </row>
    <row r="25" spans="2:10" x14ac:dyDescent="0.35">
      <c r="B25" s="164"/>
      <c r="C25" s="1" t="s">
        <v>100</v>
      </c>
      <c r="D25" s="41">
        <f>'Pavement Options'!L74</f>
        <v>0.12675</v>
      </c>
      <c r="E25" s="161"/>
      <c r="F25" s="41">
        <f>'Pavement Options'!L94</f>
        <v>6.8250000000000005E-2</v>
      </c>
      <c r="G25" s="161"/>
      <c r="H25" s="41">
        <f>'Pavement Options'!L114</f>
        <v>0.11700000000000001</v>
      </c>
      <c r="I25" s="161"/>
      <c r="J25" s="41">
        <f t="shared" si="2"/>
        <v>0.312</v>
      </c>
    </row>
    <row r="26" spans="2:10" x14ac:dyDescent="0.35">
      <c r="B26" s="164"/>
      <c r="C26" s="1" t="s">
        <v>101</v>
      </c>
      <c r="D26" s="41">
        <f>'Pavement Options'!L75</f>
        <v>0</v>
      </c>
      <c r="E26" s="161"/>
      <c r="F26" s="41">
        <f>'Pavement Options'!L95</f>
        <v>0</v>
      </c>
      <c r="G26" s="161"/>
      <c r="H26" s="41">
        <f>'Pavement Options'!L115</f>
        <v>0</v>
      </c>
      <c r="I26" s="161"/>
      <c r="J26" s="41">
        <f t="shared" si="2"/>
        <v>0</v>
      </c>
    </row>
    <row r="27" spans="2:10" x14ac:dyDescent="0.35">
      <c r="B27" s="164"/>
      <c r="C27" s="1" t="s">
        <v>168</v>
      </c>
      <c r="D27" s="41">
        <f>'Pavement Options'!L72</f>
        <v>0.12512499999999999</v>
      </c>
      <c r="E27" s="161"/>
      <c r="F27" s="41">
        <f>'Pavement Options'!L92</f>
        <v>4.9000000000000002E-2</v>
      </c>
      <c r="G27" s="161"/>
      <c r="H27" s="41">
        <f>'Pavement Options'!L112</f>
        <v>0.16800000000000001</v>
      </c>
      <c r="I27" s="161"/>
      <c r="J27" s="41">
        <f t="shared" si="2"/>
        <v>0.34212500000000001</v>
      </c>
    </row>
    <row r="28" spans="2:10" x14ac:dyDescent="0.35">
      <c r="B28" s="164"/>
      <c r="C28" s="1" t="s">
        <v>169</v>
      </c>
      <c r="D28" s="41">
        <f>'Pavement Options'!L73</f>
        <v>0</v>
      </c>
      <c r="E28" s="161"/>
      <c r="F28" s="41">
        <f>'Pavement Options'!L93</f>
        <v>0</v>
      </c>
      <c r="G28" s="161"/>
      <c r="H28" s="41">
        <f>'Pavement Options'!L113</f>
        <v>0</v>
      </c>
      <c r="I28" s="161"/>
      <c r="J28" s="41">
        <f t="shared" si="2"/>
        <v>0</v>
      </c>
    </row>
    <row r="29" spans="2:10" x14ac:dyDescent="0.35">
      <c r="B29" s="164"/>
      <c r="C29" s="1" t="s">
        <v>9</v>
      </c>
      <c r="D29" s="41">
        <f>'Pavement Options'!L68+'Pavement Options'!L69+'Pavement Options'!L70+'Pavement Options'!L71</f>
        <v>0.13143000000000002</v>
      </c>
      <c r="E29" s="162"/>
      <c r="F29" s="41">
        <f>'Pavement Options'!L88+'Pavement Options'!L89+'Pavement Options'!L90+'Pavement Options'!L91</f>
        <v>7.077E-2</v>
      </c>
      <c r="G29" s="162"/>
      <c r="H29" s="41">
        <f>'Pavement Options'!L108+'Pavement Options'!L109+'Pavement Options'!L110+'Pavement Options'!L111</f>
        <v>0.12132000000000001</v>
      </c>
      <c r="I29" s="162"/>
      <c r="J29" s="41">
        <f t="shared" si="2"/>
        <v>0.32352000000000003</v>
      </c>
    </row>
    <row r="30" spans="2:10" x14ac:dyDescent="0.35">
      <c r="B30" s="164"/>
      <c r="C30" s="27" t="s">
        <v>207</v>
      </c>
      <c r="D30" s="41">
        <f>'Pavement Options'!L86+'Pavement Options'!L87</f>
        <v>0</v>
      </c>
      <c r="E30" s="97"/>
      <c r="F30" s="61">
        <f>'Pavement Options'!L106+'Pavement Options'!L107</f>
        <v>0</v>
      </c>
      <c r="G30" s="97"/>
      <c r="H30" s="61">
        <f>'Pavement Options'!L126+'Pavement Options'!L127</f>
        <v>0</v>
      </c>
      <c r="I30" s="97"/>
      <c r="J30" s="41">
        <f t="shared" si="2"/>
        <v>0</v>
      </c>
    </row>
    <row r="31" spans="2:10" ht="16" x14ac:dyDescent="0.4">
      <c r="B31" s="164"/>
      <c r="C31" s="17" t="s">
        <v>135</v>
      </c>
      <c r="D31" s="41">
        <f t="shared" ref="D31:I31" si="3">SUM(D21:D30)</f>
        <v>2.235805</v>
      </c>
      <c r="E31" s="41">
        <f t="shared" si="3"/>
        <v>0.26</v>
      </c>
      <c r="F31" s="61">
        <f t="shared" si="3"/>
        <v>1.1855199999999999</v>
      </c>
      <c r="G31" s="61">
        <f t="shared" si="3"/>
        <v>0.14000000000000001</v>
      </c>
      <c r="H31" s="61">
        <f t="shared" si="3"/>
        <v>2.11632</v>
      </c>
      <c r="I31" s="61">
        <f t="shared" si="3"/>
        <v>0.24</v>
      </c>
      <c r="J31" s="62">
        <f>SUM(D31:I31)</f>
        <v>6.1776450000000001</v>
      </c>
    </row>
    <row r="32" spans="2:10" x14ac:dyDescent="0.35">
      <c r="B32" s="164"/>
      <c r="C32" s="16" t="s">
        <v>136</v>
      </c>
      <c r="D32" s="60">
        <f>D31+F31+H31</f>
        <v>5.5376449999999995</v>
      </c>
      <c r="E32" s="60">
        <f>E31+G31+I31</f>
        <v>0.64</v>
      </c>
      <c r="F32" s="23"/>
      <c r="G32" s="23"/>
      <c r="H32" s="23"/>
      <c r="I32" s="23"/>
      <c r="J32" s="24"/>
    </row>
    <row r="34" spans="2:10" ht="14.5" customHeight="1" x14ac:dyDescent="0.35">
      <c r="B34" s="164" t="s">
        <v>172</v>
      </c>
      <c r="C34" s="165" t="s">
        <v>13</v>
      </c>
      <c r="D34" s="166" t="s">
        <v>11</v>
      </c>
      <c r="E34" s="167"/>
      <c r="F34" s="166" t="s">
        <v>170</v>
      </c>
      <c r="G34" s="167"/>
      <c r="H34" s="166" t="s">
        <v>12</v>
      </c>
      <c r="I34" s="167"/>
      <c r="J34" s="163" t="s">
        <v>305</v>
      </c>
    </row>
    <row r="35" spans="2:10" x14ac:dyDescent="0.35">
      <c r="B35" s="164"/>
      <c r="C35" s="165"/>
      <c r="D35" s="168"/>
      <c r="E35" s="169"/>
      <c r="F35" s="168"/>
      <c r="G35" s="169"/>
      <c r="H35" s="168"/>
      <c r="I35" s="169"/>
      <c r="J35" s="163"/>
    </row>
    <row r="36" spans="2:10" ht="43.5" x14ac:dyDescent="0.35">
      <c r="B36" s="164"/>
      <c r="C36" s="165"/>
      <c r="D36" s="102" t="s">
        <v>181</v>
      </c>
      <c r="E36" s="102" t="s">
        <v>182</v>
      </c>
      <c r="F36" s="102" t="s">
        <v>181</v>
      </c>
      <c r="G36" s="102" t="s">
        <v>182</v>
      </c>
      <c r="H36" s="102" t="s">
        <v>181</v>
      </c>
      <c r="I36" s="102" t="s">
        <v>182</v>
      </c>
      <c r="J36" s="163"/>
    </row>
    <row r="37" spans="2:10" ht="14.5" customHeight="1" x14ac:dyDescent="0.35">
      <c r="B37" s="164"/>
      <c r="C37" s="1" t="s">
        <v>166</v>
      </c>
      <c r="D37" s="41">
        <f>'Pavement Options'!L143+'Pavement Options'!L144+'Pavement Options'!L147+'Pavement Options'!L148</f>
        <v>0</v>
      </c>
      <c r="E37" s="41">
        <f>'Pavement Options'!L145+'Pavement Options'!L146+'Pavement Options'!L149</f>
        <v>0</v>
      </c>
      <c r="F37" s="41">
        <f>'Pavement Options'!L163+'Pavement Options'!L164+'Pavement Options'!L167+'Pavement Options'!L168</f>
        <v>0</v>
      </c>
      <c r="G37" s="41">
        <f>'Pavement Options'!L165+'Pavement Options'!L166+'Pavement Options'!L169</f>
        <v>0</v>
      </c>
      <c r="H37" s="41">
        <f>'Pavement Options'!L183+'Pavement Options'!L184+'Pavement Options'!L187+'Pavement Options'!L188</f>
        <v>0</v>
      </c>
      <c r="I37" s="41">
        <f>'Pavement Options'!L185+'Pavement Options'!L186+'Pavement Options'!L189</f>
        <v>0</v>
      </c>
      <c r="J37" s="41">
        <f>SUM(D37+E37+F37+G37+H37+I37)</f>
        <v>0</v>
      </c>
    </row>
    <row r="38" spans="2:10" ht="14.5" customHeight="1" x14ac:dyDescent="0.35">
      <c r="B38" s="164"/>
      <c r="C38" s="1" t="s">
        <v>167</v>
      </c>
      <c r="D38" s="41">
        <f>'Pavement Options'!L142</f>
        <v>0</v>
      </c>
      <c r="E38" s="97"/>
      <c r="F38" s="41">
        <f>'Pavement Options'!L162</f>
        <v>0</v>
      </c>
      <c r="G38" s="97"/>
      <c r="H38" s="41">
        <f>'Pavement Options'!L182</f>
        <v>0</v>
      </c>
      <c r="I38" s="97"/>
      <c r="J38" s="41">
        <f t="shared" ref="J38:J46" si="4">SUM(D38+E38+F38+G38+H38+I38)</f>
        <v>0</v>
      </c>
    </row>
    <row r="39" spans="2:10" x14ac:dyDescent="0.35">
      <c r="B39" s="164"/>
      <c r="C39" s="1" t="s">
        <v>103</v>
      </c>
      <c r="D39" s="41">
        <f>'Pavement Options'!L140</f>
        <v>0</v>
      </c>
      <c r="E39" s="160"/>
      <c r="F39" s="41">
        <f>'Pavement Options'!L160</f>
        <v>0</v>
      </c>
      <c r="G39" s="160"/>
      <c r="H39" s="41">
        <f>'Pavement Options'!L180</f>
        <v>0</v>
      </c>
      <c r="I39" s="160"/>
      <c r="J39" s="41">
        <f t="shared" si="4"/>
        <v>0</v>
      </c>
    </row>
    <row r="40" spans="2:10" x14ac:dyDescent="0.35">
      <c r="B40" s="164"/>
      <c r="C40" s="1" t="s">
        <v>102</v>
      </c>
      <c r="D40" s="41">
        <f>'Pavement Options'!L141</f>
        <v>0</v>
      </c>
      <c r="E40" s="161"/>
      <c r="F40" s="41">
        <f>'Pavement Options'!L161</f>
        <v>0</v>
      </c>
      <c r="G40" s="161"/>
      <c r="H40" s="41">
        <f>'Pavement Options'!L181</f>
        <v>0</v>
      </c>
      <c r="I40" s="161"/>
      <c r="J40" s="41">
        <f t="shared" si="4"/>
        <v>0</v>
      </c>
    </row>
    <row r="41" spans="2:10" x14ac:dyDescent="0.35">
      <c r="B41" s="164"/>
      <c r="C41" s="1" t="s">
        <v>100</v>
      </c>
      <c r="D41" s="41">
        <f>'Pavement Options'!L138</f>
        <v>0</v>
      </c>
      <c r="E41" s="161"/>
      <c r="F41" s="41">
        <f>'Pavement Options'!L158</f>
        <v>0</v>
      </c>
      <c r="G41" s="161"/>
      <c r="H41" s="41">
        <f>'Pavement Options'!L178</f>
        <v>0</v>
      </c>
      <c r="I41" s="161"/>
      <c r="J41" s="41">
        <f t="shared" si="4"/>
        <v>0</v>
      </c>
    </row>
    <row r="42" spans="2:10" x14ac:dyDescent="0.35">
      <c r="B42" s="164"/>
      <c r="C42" s="1" t="s">
        <v>101</v>
      </c>
      <c r="D42" s="41">
        <f>'Pavement Options'!L139</f>
        <v>0</v>
      </c>
      <c r="E42" s="161"/>
      <c r="F42" s="41">
        <f>'Pavement Options'!L159</f>
        <v>0</v>
      </c>
      <c r="G42" s="161"/>
      <c r="H42" s="41">
        <f>'Pavement Options'!L179</f>
        <v>0</v>
      </c>
      <c r="I42" s="161"/>
      <c r="J42" s="41">
        <f t="shared" si="4"/>
        <v>0</v>
      </c>
    </row>
    <row r="43" spans="2:10" x14ac:dyDescent="0.35">
      <c r="B43" s="164"/>
      <c r="C43" s="1" t="s">
        <v>168</v>
      </c>
      <c r="D43" s="41">
        <f>'Pavement Options'!L136</f>
        <v>0</v>
      </c>
      <c r="E43" s="161"/>
      <c r="F43" s="41">
        <f>'Pavement Options'!L156</f>
        <v>0</v>
      </c>
      <c r="G43" s="161"/>
      <c r="H43" s="41">
        <f>'Pavement Options'!L176</f>
        <v>0</v>
      </c>
      <c r="I43" s="161"/>
      <c r="J43" s="41">
        <f t="shared" si="4"/>
        <v>0</v>
      </c>
    </row>
    <row r="44" spans="2:10" x14ac:dyDescent="0.35">
      <c r="B44" s="164"/>
      <c r="C44" s="1" t="s">
        <v>169</v>
      </c>
      <c r="D44" s="41">
        <f>'Pavement Options'!L137</f>
        <v>0</v>
      </c>
      <c r="E44" s="161"/>
      <c r="F44" s="41">
        <f>'Pavement Options'!L157</f>
        <v>0</v>
      </c>
      <c r="G44" s="161"/>
      <c r="H44" s="41">
        <f>'Pavement Options'!L177</f>
        <v>0</v>
      </c>
      <c r="I44" s="161"/>
      <c r="J44" s="41">
        <f t="shared" si="4"/>
        <v>0</v>
      </c>
    </row>
    <row r="45" spans="2:10" x14ac:dyDescent="0.35">
      <c r="B45" s="164"/>
      <c r="C45" s="1" t="s">
        <v>9</v>
      </c>
      <c r="D45" s="41">
        <f>'Pavement Options'!L132+'Pavement Options'!L133+'Pavement Options'!L134+'Pavement Options'!L135</f>
        <v>0</v>
      </c>
      <c r="E45" s="162"/>
      <c r="F45" s="41">
        <f>'Pavement Options'!L152+'Pavement Options'!L153+'Pavement Options'!L154+'Pavement Options'!L155</f>
        <v>0</v>
      </c>
      <c r="G45" s="162"/>
      <c r="H45" s="41">
        <f>'Pavement Options'!L172+'Pavement Options'!L173+'Pavement Options'!L174+'Pavement Options'!L175</f>
        <v>0</v>
      </c>
      <c r="I45" s="162"/>
      <c r="J45" s="41">
        <f t="shared" si="4"/>
        <v>0</v>
      </c>
    </row>
    <row r="46" spans="2:10" x14ac:dyDescent="0.35">
      <c r="B46" s="164"/>
      <c r="C46" s="27" t="s">
        <v>207</v>
      </c>
      <c r="D46" s="41">
        <f>'Pavement Options'!L150+'Pavement Options'!L151</f>
        <v>0</v>
      </c>
      <c r="E46" s="97"/>
      <c r="F46" s="61">
        <f>'Pavement Options'!L170+'Pavement Options'!L171</f>
        <v>0</v>
      </c>
      <c r="G46" s="97"/>
      <c r="H46" s="61">
        <f>'Pavement Options'!L190+'Pavement Options'!L191</f>
        <v>0</v>
      </c>
      <c r="I46" s="97"/>
      <c r="J46" s="41">
        <f t="shared" si="4"/>
        <v>0</v>
      </c>
    </row>
    <row r="47" spans="2:10" ht="16" x14ac:dyDescent="0.4">
      <c r="B47" s="164"/>
      <c r="C47" s="17" t="s">
        <v>135</v>
      </c>
      <c r="D47" s="41">
        <f t="shared" ref="D47:I47" si="5">SUM(D37:D46)</f>
        <v>0</v>
      </c>
      <c r="E47" s="41">
        <f t="shared" si="5"/>
        <v>0</v>
      </c>
      <c r="F47" s="61">
        <f t="shared" si="5"/>
        <v>0</v>
      </c>
      <c r="G47" s="61">
        <f t="shared" si="5"/>
        <v>0</v>
      </c>
      <c r="H47" s="61">
        <f t="shared" si="5"/>
        <v>0</v>
      </c>
      <c r="I47" s="61">
        <f t="shared" si="5"/>
        <v>0</v>
      </c>
      <c r="J47" s="62">
        <f>SUM(D47:I47)</f>
        <v>0</v>
      </c>
    </row>
    <row r="48" spans="2:10" x14ac:dyDescent="0.35">
      <c r="B48" s="164"/>
      <c r="C48" s="16" t="s">
        <v>136</v>
      </c>
      <c r="D48" s="60">
        <f>D47+F47+H47</f>
        <v>0</v>
      </c>
      <c r="E48" s="60">
        <f>E47+G47+I47</f>
        <v>0</v>
      </c>
      <c r="F48" s="23"/>
      <c r="G48" s="23"/>
      <c r="H48" s="23"/>
      <c r="I48" s="23"/>
      <c r="J48" s="24"/>
    </row>
    <row r="50" spans="2:10" ht="14.5" customHeight="1" x14ac:dyDescent="0.35">
      <c r="B50" s="164" t="s">
        <v>173</v>
      </c>
      <c r="C50" s="165" t="s">
        <v>13</v>
      </c>
      <c r="D50" s="166" t="s">
        <v>11</v>
      </c>
      <c r="E50" s="167"/>
      <c r="F50" s="166" t="s">
        <v>170</v>
      </c>
      <c r="G50" s="167"/>
      <c r="H50" s="166" t="s">
        <v>12</v>
      </c>
      <c r="I50" s="167"/>
      <c r="J50" s="163" t="s">
        <v>305</v>
      </c>
    </row>
    <row r="51" spans="2:10" x14ac:dyDescent="0.35">
      <c r="B51" s="164"/>
      <c r="C51" s="165"/>
      <c r="D51" s="168"/>
      <c r="E51" s="169"/>
      <c r="F51" s="168"/>
      <c r="G51" s="169"/>
      <c r="H51" s="168"/>
      <c r="I51" s="169"/>
      <c r="J51" s="163"/>
    </row>
    <row r="52" spans="2:10" ht="43.5" x14ac:dyDescent="0.35">
      <c r="B52" s="164"/>
      <c r="C52" s="165"/>
      <c r="D52" s="102" t="s">
        <v>181</v>
      </c>
      <c r="E52" s="102" t="s">
        <v>182</v>
      </c>
      <c r="F52" s="102" t="s">
        <v>181</v>
      </c>
      <c r="G52" s="102" t="s">
        <v>182</v>
      </c>
      <c r="H52" s="102" t="s">
        <v>181</v>
      </c>
      <c r="I52" s="102" t="s">
        <v>182</v>
      </c>
      <c r="J52" s="163"/>
    </row>
    <row r="53" spans="2:10" ht="14.5" customHeight="1" x14ac:dyDescent="0.35">
      <c r="B53" s="164"/>
      <c r="C53" s="1" t="s">
        <v>166</v>
      </c>
      <c r="D53" s="41">
        <f>'Pavement Options'!L207+'Pavement Options'!L208+'Pavement Options'!L211+'Pavement Options'!L212</f>
        <v>0</v>
      </c>
      <c r="E53" s="41">
        <f>'Pavement Options'!L209+'Pavement Options'!L210+'Pavement Options'!L213</f>
        <v>0</v>
      </c>
      <c r="F53" s="41">
        <f>'Pavement Options'!L227+'Pavement Options'!L228+'Pavement Options'!L231+'Pavement Options'!L232</f>
        <v>0</v>
      </c>
      <c r="G53" s="41">
        <f>'Pavement Options'!L229+'Pavement Options'!L230+'Pavement Options'!L233</f>
        <v>0</v>
      </c>
      <c r="H53" s="41">
        <f>'Pavement Options'!L247+'Pavement Options'!L248+'Pavement Options'!L251+'Pavement Options'!L252</f>
        <v>0</v>
      </c>
      <c r="I53" s="41">
        <f>'Pavement Options'!L249+'Pavement Options'!L250+'Pavement Options'!L253</f>
        <v>0</v>
      </c>
      <c r="J53" s="41">
        <f>SUM(D53+E53+F53+G53+H53+I53)</f>
        <v>0</v>
      </c>
    </row>
    <row r="54" spans="2:10" ht="14.5" customHeight="1" x14ac:dyDescent="0.35">
      <c r="B54" s="164"/>
      <c r="C54" s="1" t="s">
        <v>167</v>
      </c>
      <c r="D54" s="41">
        <f>'Pavement Options'!L206</f>
        <v>0</v>
      </c>
      <c r="E54" s="97"/>
      <c r="F54" s="41">
        <f>'Pavement Options'!L226</f>
        <v>0</v>
      </c>
      <c r="G54" s="97"/>
      <c r="H54" s="41">
        <f>'Pavement Options'!L246</f>
        <v>0</v>
      </c>
      <c r="I54" s="97"/>
      <c r="J54" s="41">
        <f t="shared" ref="J54:J62" si="6">SUM(D54+E54+F54+G54+H54+I54)</f>
        <v>0</v>
      </c>
    </row>
    <row r="55" spans="2:10" x14ac:dyDescent="0.35">
      <c r="B55" s="164"/>
      <c r="C55" s="1" t="s">
        <v>103</v>
      </c>
      <c r="D55" s="41">
        <f>'Pavement Options'!L204</f>
        <v>0</v>
      </c>
      <c r="E55" s="160"/>
      <c r="F55" s="41">
        <f>'Pavement Options'!L224</f>
        <v>0</v>
      </c>
      <c r="G55" s="160"/>
      <c r="H55" s="41">
        <f>'Pavement Options'!L244</f>
        <v>0</v>
      </c>
      <c r="I55" s="160"/>
      <c r="J55" s="41">
        <f t="shared" si="6"/>
        <v>0</v>
      </c>
    </row>
    <row r="56" spans="2:10" x14ac:dyDescent="0.35">
      <c r="B56" s="164"/>
      <c r="C56" s="1" t="s">
        <v>102</v>
      </c>
      <c r="D56" s="41">
        <f>'Pavement Options'!L205</f>
        <v>0</v>
      </c>
      <c r="E56" s="161"/>
      <c r="F56" s="41">
        <f>'Pavement Options'!L225</f>
        <v>0</v>
      </c>
      <c r="G56" s="161"/>
      <c r="H56" s="41">
        <f>'Pavement Options'!L245</f>
        <v>0</v>
      </c>
      <c r="I56" s="161"/>
      <c r="J56" s="41">
        <f t="shared" si="6"/>
        <v>0</v>
      </c>
    </row>
    <row r="57" spans="2:10" x14ac:dyDescent="0.35">
      <c r="B57" s="164"/>
      <c r="C57" s="1" t="s">
        <v>100</v>
      </c>
      <c r="D57" s="41">
        <f>'Pavement Options'!L202</f>
        <v>0</v>
      </c>
      <c r="E57" s="161"/>
      <c r="F57" s="41">
        <f>'Pavement Options'!L222</f>
        <v>0</v>
      </c>
      <c r="G57" s="161"/>
      <c r="H57" s="41">
        <f>'Pavement Options'!L242</f>
        <v>0</v>
      </c>
      <c r="I57" s="161"/>
      <c r="J57" s="41">
        <f t="shared" si="6"/>
        <v>0</v>
      </c>
    </row>
    <row r="58" spans="2:10" x14ac:dyDescent="0.35">
      <c r="B58" s="164"/>
      <c r="C58" s="1" t="s">
        <v>101</v>
      </c>
      <c r="D58" s="41">
        <f>'Pavement Options'!L203</f>
        <v>0</v>
      </c>
      <c r="E58" s="161"/>
      <c r="F58" s="41">
        <f>'Pavement Options'!L223</f>
        <v>0</v>
      </c>
      <c r="G58" s="161"/>
      <c r="H58" s="41">
        <f>'Pavement Options'!L243</f>
        <v>0</v>
      </c>
      <c r="I58" s="161"/>
      <c r="J58" s="41">
        <f t="shared" si="6"/>
        <v>0</v>
      </c>
    </row>
    <row r="59" spans="2:10" x14ac:dyDescent="0.35">
      <c r="B59" s="164"/>
      <c r="C59" s="1" t="s">
        <v>168</v>
      </c>
      <c r="D59" s="41">
        <f>'Pavement Options'!L200</f>
        <v>0</v>
      </c>
      <c r="E59" s="161"/>
      <c r="F59" s="41">
        <f>'Pavement Options'!L220</f>
        <v>0</v>
      </c>
      <c r="G59" s="161"/>
      <c r="H59" s="41">
        <f>'Pavement Options'!L240</f>
        <v>0</v>
      </c>
      <c r="I59" s="161"/>
      <c r="J59" s="41">
        <f t="shared" si="6"/>
        <v>0</v>
      </c>
    </row>
    <row r="60" spans="2:10" x14ac:dyDescent="0.35">
      <c r="B60" s="164"/>
      <c r="C60" s="1" t="s">
        <v>169</v>
      </c>
      <c r="D60" s="41">
        <f>'Pavement Options'!L201</f>
        <v>0</v>
      </c>
      <c r="E60" s="161"/>
      <c r="F60" s="41">
        <f>'Pavement Options'!L221</f>
        <v>0</v>
      </c>
      <c r="G60" s="161"/>
      <c r="H60" s="41">
        <f>'Pavement Options'!L241</f>
        <v>0</v>
      </c>
      <c r="I60" s="161"/>
      <c r="J60" s="41">
        <f t="shared" si="6"/>
        <v>0</v>
      </c>
    </row>
    <row r="61" spans="2:10" x14ac:dyDescent="0.35">
      <c r="B61" s="164"/>
      <c r="C61" s="1" t="s">
        <v>9</v>
      </c>
      <c r="D61" s="41">
        <f>'Pavement Options'!L196+'Pavement Options'!L197+'Pavement Options'!L198+'Pavement Options'!L199</f>
        <v>0</v>
      </c>
      <c r="E61" s="162"/>
      <c r="F61" s="41">
        <f>'Pavement Options'!L216+'Pavement Options'!L217+'Pavement Options'!L218+'Pavement Options'!L219</f>
        <v>0</v>
      </c>
      <c r="G61" s="162"/>
      <c r="H61" s="41">
        <f>'Pavement Options'!L236+'Pavement Options'!L237+'Pavement Options'!L238+'Pavement Options'!L239</f>
        <v>0</v>
      </c>
      <c r="I61" s="162"/>
      <c r="J61" s="41">
        <f t="shared" si="6"/>
        <v>0</v>
      </c>
    </row>
    <row r="62" spans="2:10" x14ac:dyDescent="0.35">
      <c r="B62" s="164"/>
      <c r="C62" s="27" t="s">
        <v>207</v>
      </c>
      <c r="D62" s="41">
        <f>'Pavement Options'!L214+'Pavement Options'!L215</f>
        <v>0</v>
      </c>
      <c r="E62" s="97"/>
      <c r="F62" s="61">
        <f>'Pavement Options'!L234+'Pavement Options'!L235</f>
        <v>0</v>
      </c>
      <c r="G62" s="97"/>
      <c r="H62" s="61">
        <f>'Pavement Options'!L254+'Pavement Options'!L255</f>
        <v>0</v>
      </c>
      <c r="I62" s="97"/>
      <c r="J62" s="41">
        <f t="shared" si="6"/>
        <v>0</v>
      </c>
    </row>
    <row r="63" spans="2:10" ht="16" x14ac:dyDescent="0.4">
      <c r="B63" s="164"/>
      <c r="C63" s="17" t="s">
        <v>135</v>
      </c>
      <c r="D63" s="41">
        <f t="shared" ref="D63:I63" si="7">SUM(D53:D62)</f>
        <v>0</v>
      </c>
      <c r="E63" s="41">
        <f t="shared" si="7"/>
        <v>0</v>
      </c>
      <c r="F63" s="61">
        <f t="shared" si="7"/>
        <v>0</v>
      </c>
      <c r="G63" s="61">
        <f t="shared" si="7"/>
        <v>0</v>
      </c>
      <c r="H63" s="61">
        <f t="shared" si="7"/>
        <v>0</v>
      </c>
      <c r="I63" s="61">
        <f t="shared" si="7"/>
        <v>0</v>
      </c>
      <c r="J63" s="62">
        <f>SUM(D63:I63)</f>
        <v>0</v>
      </c>
    </row>
    <row r="64" spans="2:10" x14ac:dyDescent="0.35">
      <c r="B64" s="164"/>
      <c r="C64" s="16" t="s">
        <v>136</v>
      </c>
      <c r="D64" s="60">
        <f>D63+F63+H63</f>
        <v>0</v>
      </c>
      <c r="E64" s="60">
        <f>E63+G63+I63</f>
        <v>0</v>
      </c>
      <c r="F64" s="23"/>
      <c r="G64" s="23"/>
      <c r="H64" s="23"/>
      <c r="I64" s="23"/>
      <c r="J64" s="24"/>
    </row>
  </sheetData>
  <sheetProtection algorithmName="SHA-512" hashValue="QD0h0ED3xMRwttEIiXuJsjUGTgnel63ADnrWwFQQRicKCtRCZeX/XUYKgpBr1mdZuzagFjmzQRbQh6EMO1tMCQ==" saltValue="PrDXc6TXjq4PrEDn1KJlog==" spinCount="100000" sheet="1" objects="1" scenarios="1" formatCells="0" formatColumns="0" formatRows="0" insertHyperlinks="0" sort="0" autoFilter="0"/>
  <mergeCells count="36">
    <mergeCell ref="J50:J52"/>
    <mergeCell ref="B50:B64"/>
    <mergeCell ref="C50:C52"/>
    <mergeCell ref="D50:E51"/>
    <mergeCell ref="F50:G51"/>
    <mergeCell ref="H50:I51"/>
    <mergeCell ref="J18:J20"/>
    <mergeCell ref="B34:B48"/>
    <mergeCell ref="C34:C36"/>
    <mergeCell ref="D34:E35"/>
    <mergeCell ref="F34:G35"/>
    <mergeCell ref="H34:I35"/>
    <mergeCell ref="J34:J36"/>
    <mergeCell ref="B18:B32"/>
    <mergeCell ref="C18:C20"/>
    <mergeCell ref="D18:E19"/>
    <mergeCell ref="F18:G19"/>
    <mergeCell ref="H18:I19"/>
    <mergeCell ref="E23:E29"/>
    <mergeCell ref="G23:G29"/>
    <mergeCell ref="I23:I29"/>
    <mergeCell ref="E39:E45"/>
    <mergeCell ref="J2:J4"/>
    <mergeCell ref="E7:E13"/>
    <mergeCell ref="G7:G13"/>
    <mergeCell ref="I7:I13"/>
    <mergeCell ref="B2:B16"/>
    <mergeCell ref="C2:C4"/>
    <mergeCell ref="D2:E3"/>
    <mergeCell ref="F2:G3"/>
    <mergeCell ref="H2:I3"/>
    <mergeCell ref="G39:G45"/>
    <mergeCell ref="I39:I45"/>
    <mergeCell ref="E55:E61"/>
    <mergeCell ref="G55:G61"/>
    <mergeCell ref="I55:I61"/>
  </mergeCells>
  <phoneticPr fontId="2" type="noConversion"/>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0197-3EA8-4F49-9B78-1CB2554358B7}">
  <sheetPr>
    <tabColor theme="8"/>
  </sheetPr>
  <dimension ref="B2:S64"/>
  <sheetViews>
    <sheetView workbookViewId="0">
      <selection activeCell="E32" sqref="E32"/>
    </sheetView>
  </sheetViews>
  <sheetFormatPr defaultRowHeight="14.5" x14ac:dyDescent="0.35"/>
  <cols>
    <col min="3" max="3" width="23.7265625" customWidth="1"/>
    <col min="4" max="4" width="12.6328125" customWidth="1"/>
    <col min="5" max="5" width="14.6328125" customWidth="1"/>
    <col min="6" max="6" width="12.6328125" customWidth="1"/>
    <col min="7" max="7" width="14.6328125" customWidth="1"/>
    <col min="8" max="8" width="12.6328125" customWidth="1"/>
    <col min="9" max="9" width="14.6328125" customWidth="1"/>
    <col min="10" max="10" width="18.81640625" customWidth="1"/>
    <col min="12" max="12" width="14.453125" customWidth="1"/>
    <col min="13" max="13" width="14.36328125" customWidth="1"/>
    <col min="15" max="15" width="14.90625" customWidth="1"/>
    <col min="16" max="16" width="13.7265625" customWidth="1"/>
    <col min="18" max="18" width="14.453125" customWidth="1"/>
    <col min="19" max="19" width="13.54296875" customWidth="1"/>
  </cols>
  <sheetData>
    <row r="2" spans="2:10" ht="14.5" customHeight="1" x14ac:dyDescent="0.35">
      <c r="B2" s="164" t="s">
        <v>10</v>
      </c>
      <c r="C2" s="165" t="s">
        <v>13</v>
      </c>
      <c r="D2" s="166" t="s">
        <v>11</v>
      </c>
      <c r="E2" s="167"/>
      <c r="F2" s="166" t="s">
        <v>170</v>
      </c>
      <c r="G2" s="167"/>
      <c r="H2" s="166" t="s">
        <v>12</v>
      </c>
      <c r="I2" s="167"/>
      <c r="J2" s="173" t="s">
        <v>137</v>
      </c>
    </row>
    <row r="3" spans="2:10" x14ac:dyDescent="0.35">
      <c r="B3" s="164"/>
      <c r="C3" s="165"/>
      <c r="D3" s="168"/>
      <c r="E3" s="169"/>
      <c r="F3" s="168"/>
      <c r="G3" s="169"/>
      <c r="H3" s="168"/>
      <c r="I3" s="169"/>
      <c r="J3" s="173"/>
    </row>
    <row r="4" spans="2:10" ht="45.5" x14ac:dyDescent="0.35">
      <c r="B4" s="164"/>
      <c r="C4" s="165"/>
      <c r="D4" s="10" t="s">
        <v>298</v>
      </c>
      <c r="E4" s="10" t="s">
        <v>299</v>
      </c>
      <c r="F4" s="10" t="s">
        <v>298</v>
      </c>
      <c r="G4" s="10" t="s">
        <v>299</v>
      </c>
      <c r="H4" s="10" t="s">
        <v>298</v>
      </c>
      <c r="I4" s="10" t="s">
        <v>299</v>
      </c>
      <c r="J4" s="173"/>
    </row>
    <row r="5" spans="2:10" ht="14.5" customHeight="1" x14ac:dyDescent="0.35">
      <c r="B5" s="164"/>
      <c r="C5" s="1" t="s">
        <v>166</v>
      </c>
      <c r="D5" s="43">
        <f>'Emissions for Pavement Options'!O15+'Emissions for Pavement Options'!O16+'Emissions for Pavement Options'!O19+'Emissions for Pavement Options'!O20</f>
        <v>1063.982475</v>
      </c>
      <c r="E5" s="43">
        <f>'Emissions for Pavement Options'!O17+'Emissions for Pavement Options'!O18+'Emissions for Pavement Options'!O21</f>
        <v>66.702474999999993</v>
      </c>
      <c r="F5" s="43">
        <f>'Emissions for Pavement Options'!O35+'Emissions for Pavement Options'!O36+'Emissions for Pavement Options'!O39+'Emissions for Pavement Options'!O40</f>
        <v>1595.9737124999999</v>
      </c>
      <c r="G5" s="43">
        <f>'Emissions for Pavement Options'!O37+'Emissions for Pavement Options'!O38+'Emissions for Pavement Options'!O41</f>
        <v>100.05371249999999</v>
      </c>
      <c r="H5" s="43">
        <f>'Emissions for Pavement Options'!O55+'Emissions for Pavement Options'!O56+'Emissions for Pavement Options'!O59+'Emissions for Pavement Options'!O60</f>
        <v>2127.96495</v>
      </c>
      <c r="I5" s="43">
        <f>'Emissions for Pavement Options'!O57+'Emissions for Pavement Options'!O58+'Emissions for Pavement Options'!O61</f>
        <v>133.40494999999999</v>
      </c>
      <c r="J5" s="43">
        <f>SUM(D5+E5+F5+G5+H5+I5)</f>
        <v>5088.0822750000007</v>
      </c>
    </row>
    <row r="6" spans="2:10" ht="14.5" customHeight="1" x14ac:dyDescent="0.35">
      <c r="B6" s="164"/>
      <c r="C6" s="1" t="s">
        <v>167</v>
      </c>
      <c r="D6" s="43">
        <f>'Emissions for Pavement Options'!O14</f>
        <v>1468.3199999999997</v>
      </c>
      <c r="E6" s="96"/>
      <c r="F6" s="43">
        <f>'Emissions for Pavement Options'!O34</f>
        <v>2202.4799999999996</v>
      </c>
      <c r="G6" s="96"/>
      <c r="H6" s="43">
        <f>'Emissions for Pavement Options'!O54</f>
        <v>2936.6399999999994</v>
      </c>
      <c r="I6" s="96"/>
      <c r="J6" s="43">
        <f t="shared" ref="J6:J14" si="0">SUM(D6+E6+F6+G6+H6+I6)</f>
        <v>6607.4399999999987</v>
      </c>
    </row>
    <row r="7" spans="2:10" x14ac:dyDescent="0.35">
      <c r="B7" s="164"/>
      <c r="C7" s="1" t="s">
        <v>103</v>
      </c>
      <c r="D7" s="43">
        <f>'Emissions for Pavement Options'!O12</f>
        <v>275.94</v>
      </c>
      <c r="E7" s="170"/>
      <c r="F7" s="43">
        <f>'Emissions for Pavement Options'!O32</f>
        <v>413.91</v>
      </c>
      <c r="G7" s="170"/>
      <c r="H7" s="43">
        <f>'Emissions for Pavement Options'!O52</f>
        <v>551.88</v>
      </c>
      <c r="I7" s="170"/>
      <c r="J7" s="43">
        <f t="shared" si="0"/>
        <v>1241.73</v>
      </c>
    </row>
    <row r="8" spans="2:10" x14ac:dyDescent="0.35">
      <c r="B8" s="164"/>
      <c r="C8" s="1" t="s">
        <v>102</v>
      </c>
      <c r="D8" s="43">
        <f>'Emissions for Pavement Options'!O13</f>
        <v>0</v>
      </c>
      <c r="E8" s="171"/>
      <c r="F8" s="43">
        <f>'Emissions for Pavement Options'!O33</f>
        <v>0</v>
      </c>
      <c r="G8" s="171"/>
      <c r="H8" s="43">
        <f>'Emissions for Pavement Options'!O53</f>
        <v>0</v>
      </c>
      <c r="I8" s="171"/>
      <c r="J8" s="43">
        <f t="shared" si="0"/>
        <v>0</v>
      </c>
    </row>
    <row r="9" spans="2:10" x14ac:dyDescent="0.35">
      <c r="B9" s="164"/>
      <c r="C9" s="1" t="s">
        <v>100</v>
      </c>
      <c r="D9" s="43">
        <f>'Emissions for Pavement Options'!O10</f>
        <v>2755.25</v>
      </c>
      <c r="E9" s="171"/>
      <c r="F9" s="43">
        <f>'Emissions for Pavement Options'!O30</f>
        <v>4132.875</v>
      </c>
      <c r="G9" s="171"/>
      <c r="H9" s="43">
        <f>'Emissions for Pavement Options'!O50</f>
        <v>5510.5</v>
      </c>
      <c r="I9" s="171"/>
      <c r="J9" s="43">
        <f t="shared" si="0"/>
        <v>12398.625</v>
      </c>
    </row>
    <row r="10" spans="2:10" x14ac:dyDescent="0.35">
      <c r="B10" s="164"/>
      <c r="C10" s="1" t="s">
        <v>101</v>
      </c>
      <c r="D10" s="43">
        <f>'Emissions for Pavement Options'!O11</f>
        <v>0</v>
      </c>
      <c r="E10" s="171"/>
      <c r="F10" s="43">
        <f>'Emissions for Pavement Options'!O31</f>
        <v>0</v>
      </c>
      <c r="G10" s="171"/>
      <c r="H10" s="43">
        <f>'Emissions for Pavement Options'!O51</f>
        <v>0</v>
      </c>
      <c r="I10" s="171"/>
      <c r="J10" s="43">
        <f t="shared" si="0"/>
        <v>0</v>
      </c>
    </row>
    <row r="11" spans="2:10" x14ac:dyDescent="0.35">
      <c r="B11" s="164"/>
      <c r="C11" s="1" t="s">
        <v>168</v>
      </c>
      <c r="D11" s="43">
        <f>'Emissions for Pavement Options'!O8</f>
        <v>0</v>
      </c>
      <c r="E11" s="171"/>
      <c r="F11" s="43">
        <f>'Emissions for Pavement Options'!O28</f>
        <v>0</v>
      </c>
      <c r="G11" s="171"/>
      <c r="H11" s="43">
        <f>'Emissions for Pavement Options'!O48</f>
        <v>0</v>
      </c>
      <c r="I11" s="171"/>
      <c r="J11" s="43">
        <f t="shared" si="0"/>
        <v>0</v>
      </c>
    </row>
    <row r="12" spans="2:10" x14ac:dyDescent="0.35">
      <c r="B12" s="164"/>
      <c r="C12" s="1" t="s">
        <v>169</v>
      </c>
      <c r="D12" s="43">
        <f>'Emissions for Pavement Options'!O9</f>
        <v>9.6000000000000014</v>
      </c>
      <c r="E12" s="171"/>
      <c r="F12" s="43">
        <f>'Emissions for Pavement Options'!O29</f>
        <v>0</v>
      </c>
      <c r="G12" s="171"/>
      <c r="H12" s="43">
        <f>'Emissions for Pavement Options'!O49</f>
        <v>32</v>
      </c>
      <c r="I12" s="171"/>
      <c r="J12" s="43">
        <f t="shared" si="0"/>
        <v>41.6</v>
      </c>
    </row>
    <row r="13" spans="2:10" x14ac:dyDescent="0.35">
      <c r="B13" s="164"/>
      <c r="C13" s="1" t="s">
        <v>9</v>
      </c>
      <c r="D13" s="43">
        <f>'Emissions for Pavement Options'!O4+'Emissions for Pavement Options'!O5++'Emissions for Pavement Options'!O6+'Emissions for Pavement Options'!O7</f>
        <v>20.663845983866118</v>
      </c>
      <c r="E13" s="172"/>
      <c r="F13" s="43">
        <f>'Emissions for Pavement Options'!O24+'Emissions for Pavement Options'!O25+'Emissions for Pavement Options'!O26+'Emissions for Pavement Options'!O27</f>
        <v>30.995768975799177</v>
      </c>
      <c r="G13" s="172"/>
      <c r="H13" s="43">
        <f>'Emissions for Pavement Options'!O44+'Emissions for Pavement Options'!O45+'Emissions for Pavement Options'!O46+'Emissions for Pavement Options'!O47</f>
        <v>41.327691967732235</v>
      </c>
      <c r="I13" s="172"/>
      <c r="J13" s="43">
        <f t="shared" si="0"/>
        <v>92.987306927397526</v>
      </c>
    </row>
    <row r="14" spans="2:10" x14ac:dyDescent="0.35">
      <c r="B14" s="164"/>
      <c r="C14" s="27" t="s">
        <v>207</v>
      </c>
      <c r="D14" s="43">
        <f>'Emissions for Pavement Options'!O22+'Emissions for Pavement Options'!O23</f>
        <v>0</v>
      </c>
      <c r="E14" s="96"/>
      <c r="F14" s="64">
        <f>'Emissions for Pavement Options'!O42+'Emissions for Pavement Options'!O43</f>
        <v>0</v>
      </c>
      <c r="G14" s="96"/>
      <c r="H14" s="64">
        <f>'Emissions for Pavement Options'!O62+'Emissions for Pavement Options'!O63</f>
        <v>0</v>
      </c>
      <c r="I14" s="96"/>
      <c r="J14" s="43">
        <f t="shared" si="0"/>
        <v>0</v>
      </c>
    </row>
    <row r="15" spans="2:10" ht="16" x14ac:dyDescent="0.4">
      <c r="B15" s="164"/>
      <c r="C15" s="17" t="s">
        <v>135</v>
      </c>
      <c r="D15" s="43">
        <f t="shared" ref="D15:I15" si="1">SUM(D5:D14)</f>
        <v>5593.7563209838654</v>
      </c>
      <c r="E15" s="43">
        <f t="shared" si="1"/>
        <v>66.702474999999993</v>
      </c>
      <c r="F15" s="64">
        <f t="shared" si="1"/>
        <v>8376.234481475798</v>
      </c>
      <c r="G15" s="64">
        <f t="shared" si="1"/>
        <v>100.05371249999999</v>
      </c>
      <c r="H15" s="64">
        <f t="shared" si="1"/>
        <v>11200.31264196773</v>
      </c>
      <c r="I15" s="64">
        <f t="shared" si="1"/>
        <v>133.40494999999999</v>
      </c>
      <c r="J15" s="65">
        <f>SUM(D15:I15)</f>
        <v>25470.464581927394</v>
      </c>
    </row>
    <row r="16" spans="2:10" x14ac:dyDescent="0.35">
      <c r="B16" s="164"/>
      <c r="C16" s="16" t="s">
        <v>136</v>
      </c>
      <c r="D16" s="63">
        <f>D15+F15+H15</f>
        <v>25170.303444427394</v>
      </c>
      <c r="E16" s="63">
        <f>E15+G15+I15</f>
        <v>300.1611375</v>
      </c>
      <c r="F16" s="14"/>
      <c r="G16" s="14"/>
      <c r="H16" s="14"/>
      <c r="I16" s="14"/>
    </row>
    <row r="18" spans="2:19" ht="14.5" customHeight="1" x14ac:dyDescent="0.35">
      <c r="B18" s="164" t="s">
        <v>171</v>
      </c>
      <c r="C18" s="165" t="s">
        <v>13</v>
      </c>
      <c r="D18" s="166" t="s">
        <v>11</v>
      </c>
      <c r="E18" s="167"/>
      <c r="F18" s="166" t="s">
        <v>170</v>
      </c>
      <c r="G18" s="167"/>
      <c r="H18" s="166" t="s">
        <v>12</v>
      </c>
      <c r="I18" s="167"/>
      <c r="J18" s="173" t="s">
        <v>137</v>
      </c>
    </row>
    <row r="19" spans="2:19" x14ac:dyDescent="0.35">
      <c r="B19" s="164"/>
      <c r="C19" s="165"/>
      <c r="D19" s="168"/>
      <c r="E19" s="169"/>
      <c r="F19" s="168"/>
      <c r="G19" s="169"/>
      <c r="H19" s="168"/>
      <c r="I19" s="169"/>
      <c r="J19" s="173"/>
    </row>
    <row r="20" spans="2:19" ht="45.5" x14ac:dyDescent="0.35">
      <c r="B20" s="164"/>
      <c r="C20" s="165"/>
      <c r="D20" s="10" t="s">
        <v>298</v>
      </c>
      <c r="E20" s="10" t="s">
        <v>299</v>
      </c>
      <c r="F20" s="10" t="s">
        <v>298</v>
      </c>
      <c r="G20" s="10" t="s">
        <v>299</v>
      </c>
      <c r="H20" s="10" t="s">
        <v>298</v>
      </c>
      <c r="I20" s="10" t="s">
        <v>299</v>
      </c>
      <c r="J20" s="173"/>
    </row>
    <row r="21" spans="2:19" ht="14.5" customHeight="1" x14ac:dyDescent="0.35">
      <c r="B21" s="164"/>
      <c r="C21" s="1" t="s">
        <v>166</v>
      </c>
      <c r="D21" s="43">
        <f>'Emissions for Pavement Options'!O79+'Emissions for Pavement Options'!O80+'Emissions for Pavement Options'!O83+'Emissions for Pavement Options'!O84</f>
        <v>1063.982475</v>
      </c>
      <c r="E21" s="43">
        <f>'Emissions for Pavement Options'!O81+'Emissions for Pavement Options'!O82+'Emissions for Pavement Options'!O85</f>
        <v>66.702474999999993</v>
      </c>
      <c r="F21" s="43">
        <f>'Emissions for Pavement Options'!O99+'Emissions for Pavement Options'!O100+'Emissions for Pavement Options'!O103+'Emissions for Pavement Options'!O104</f>
        <v>1595.9737124999999</v>
      </c>
      <c r="G21" s="43">
        <f>'Emissions for Pavement Options'!O101+'Emissions for Pavement Options'!O102+'Emissions for Pavement Options'!O105</f>
        <v>100.05371249999999</v>
      </c>
      <c r="H21" s="43">
        <f>'Emissions for Pavement Options'!O119+'Emissions for Pavement Options'!O120+'Emissions for Pavement Options'!O123+'Emissions for Pavement Options'!O124</f>
        <v>2127.96495</v>
      </c>
      <c r="I21" s="43">
        <f>'Emissions for Pavement Options'!O121+'Emissions for Pavement Options'!O122+'Emissions for Pavement Options'!O125</f>
        <v>133.40494999999999</v>
      </c>
      <c r="J21" s="43">
        <f>SUM(D21+E21+F21+G21+H21+I21)</f>
        <v>5088.0822750000007</v>
      </c>
      <c r="O21" s="34"/>
      <c r="P21" s="34"/>
      <c r="R21" s="34"/>
      <c r="S21" s="34"/>
    </row>
    <row r="22" spans="2:19" ht="14.5" customHeight="1" x14ac:dyDescent="0.35">
      <c r="B22" s="164"/>
      <c r="C22" s="1" t="s">
        <v>167</v>
      </c>
      <c r="D22" s="43">
        <f>'Emissions for Pavement Options'!O78</f>
        <v>1468.3199999999997</v>
      </c>
      <c r="E22" s="96"/>
      <c r="F22" s="43">
        <f>'Emissions for Pavement Options'!O98</f>
        <v>2202.4799999999996</v>
      </c>
      <c r="G22" s="96"/>
      <c r="H22" s="43">
        <f>'Emissions for Pavement Options'!O118</f>
        <v>2936.6399999999994</v>
      </c>
      <c r="I22" s="96"/>
      <c r="J22" s="43">
        <f t="shared" ref="J22:J30" si="2">SUM(D22+E22+F22+G22+H22+I22)</f>
        <v>6607.4399999999987</v>
      </c>
    </row>
    <row r="23" spans="2:19" x14ac:dyDescent="0.35">
      <c r="B23" s="164"/>
      <c r="C23" s="1" t="s">
        <v>103</v>
      </c>
      <c r="D23" s="43">
        <f>'Emissions for Pavement Options'!O76</f>
        <v>236.52</v>
      </c>
      <c r="E23" s="170"/>
      <c r="F23" s="43">
        <f>'Emissions for Pavement Options'!O96</f>
        <v>354.78000000000003</v>
      </c>
      <c r="G23" s="170"/>
      <c r="H23" s="43">
        <f>'Emissions for Pavement Options'!O116</f>
        <v>473.04</v>
      </c>
      <c r="I23" s="170"/>
      <c r="J23" s="43">
        <f t="shared" si="2"/>
        <v>1064.3400000000001</v>
      </c>
    </row>
    <row r="24" spans="2:19" x14ac:dyDescent="0.35">
      <c r="B24" s="164"/>
      <c r="C24" s="1" t="s">
        <v>102</v>
      </c>
      <c r="D24" s="43">
        <f>'Emissions for Pavement Options'!O77</f>
        <v>0</v>
      </c>
      <c r="E24" s="171"/>
      <c r="F24" s="43">
        <f>'Emissions for Pavement Options'!O97</f>
        <v>0</v>
      </c>
      <c r="G24" s="171"/>
      <c r="H24" s="43">
        <f>'Emissions for Pavement Options'!O117</f>
        <v>0</v>
      </c>
      <c r="I24" s="171"/>
      <c r="J24" s="43">
        <f t="shared" si="2"/>
        <v>0</v>
      </c>
    </row>
    <row r="25" spans="2:19" x14ac:dyDescent="0.35">
      <c r="B25" s="164"/>
      <c r="C25" s="1" t="s">
        <v>100</v>
      </c>
      <c r="D25" s="43">
        <f>'Emissions for Pavement Options'!O74</f>
        <v>1653.15</v>
      </c>
      <c r="E25" s="171"/>
      <c r="F25" s="43">
        <f>'Emissions for Pavement Options'!O94</f>
        <v>2479.7249999999999</v>
      </c>
      <c r="G25" s="171"/>
      <c r="H25" s="43">
        <f>'Emissions for Pavement Options'!O114</f>
        <v>3306.3</v>
      </c>
      <c r="I25" s="171"/>
      <c r="J25" s="43">
        <f t="shared" si="2"/>
        <v>7439.1750000000002</v>
      </c>
    </row>
    <row r="26" spans="2:19" x14ac:dyDescent="0.35">
      <c r="B26" s="164"/>
      <c r="C26" s="1" t="s">
        <v>101</v>
      </c>
      <c r="D26" s="43">
        <f>'Emissions for Pavement Options'!O75</f>
        <v>0</v>
      </c>
      <c r="E26" s="171"/>
      <c r="F26" s="43">
        <f>'Emissions for Pavement Options'!O95</f>
        <v>0</v>
      </c>
      <c r="G26" s="171"/>
      <c r="H26" s="43">
        <f>'Emissions for Pavement Options'!O115</f>
        <v>0</v>
      </c>
      <c r="I26" s="171"/>
      <c r="J26" s="43">
        <f t="shared" si="2"/>
        <v>0</v>
      </c>
    </row>
    <row r="27" spans="2:19" x14ac:dyDescent="0.35">
      <c r="B27" s="164"/>
      <c r="C27" s="1" t="s">
        <v>168</v>
      </c>
      <c r="D27" s="43">
        <f>'Emissions for Pavement Options'!O72</f>
        <v>19.4476119857434</v>
      </c>
      <c r="E27" s="171"/>
      <c r="F27" s="43">
        <f>'Emissions for Pavement Options'!O92</f>
        <v>21.215576711720072</v>
      </c>
      <c r="G27" s="171"/>
      <c r="H27" s="43">
        <f>'Emissions for Pavement Options'!O112</f>
        <v>56.574871231253532</v>
      </c>
      <c r="I27" s="171"/>
      <c r="J27" s="43">
        <f t="shared" si="2"/>
        <v>97.238059928717007</v>
      </c>
    </row>
    <row r="28" spans="2:19" x14ac:dyDescent="0.35">
      <c r="B28" s="164"/>
      <c r="C28" s="1" t="s">
        <v>169</v>
      </c>
      <c r="D28" s="43">
        <f>'Emissions for Pavement Options'!O73</f>
        <v>0</v>
      </c>
      <c r="E28" s="171"/>
      <c r="F28" s="43">
        <f>'Emissions for Pavement Options'!O93</f>
        <v>0</v>
      </c>
      <c r="G28" s="171"/>
      <c r="H28" s="43">
        <f>'Emissions for Pavement Options'!O113</f>
        <v>0</v>
      </c>
      <c r="I28" s="171"/>
      <c r="J28" s="43">
        <f t="shared" si="2"/>
        <v>0</v>
      </c>
    </row>
    <row r="29" spans="2:19" x14ac:dyDescent="0.35">
      <c r="B29" s="164"/>
      <c r="C29" s="1" t="s">
        <v>9</v>
      </c>
      <c r="D29" s="43">
        <f>'Emissions for Pavement Options'!O68+'Emissions for Pavement Options'!O69++'Emissions for Pavement Options'!O70+'Emissions for Pavement Options'!O71</f>
        <v>20.663845983866118</v>
      </c>
      <c r="E29" s="172"/>
      <c r="F29" s="43">
        <f>'Emissions for Pavement Options'!O88+'Emissions for Pavement Options'!O89+'Emissions for Pavement Options'!O90+'Emissions for Pavement Options'!O91</f>
        <v>30.995768975799177</v>
      </c>
      <c r="G29" s="172"/>
      <c r="H29" s="43">
        <f>'Emissions for Pavement Options'!O108+'Emissions for Pavement Options'!O109+'Emissions for Pavement Options'!O110+'Emissions for Pavement Options'!O111</f>
        <v>41.327691967732235</v>
      </c>
      <c r="I29" s="172"/>
      <c r="J29" s="43">
        <f t="shared" si="2"/>
        <v>92.987306927397526</v>
      </c>
      <c r="R29" s="34"/>
    </row>
    <row r="30" spans="2:19" x14ac:dyDescent="0.35">
      <c r="B30" s="164"/>
      <c r="C30" s="27" t="s">
        <v>207</v>
      </c>
      <c r="D30" s="43">
        <f>'Emissions for Pavement Options'!O86+'Emissions for Pavement Options'!O87</f>
        <v>0</v>
      </c>
      <c r="E30" s="96"/>
      <c r="F30" s="64">
        <f>'Emissions for Pavement Options'!O106+'Emissions for Pavement Options'!O107</f>
        <v>0</v>
      </c>
      <c r="G30" s="96"/>
      <c r="H30" s="64">
        <f>'Emissions for Pavement Options'!O126+'Emissions for Pavement Options'!O127</f>
        <v>0</v>
      </c>
      <c r="I30" s="96"/>
      <c r="J30" s="43">
        <f t="shared" si="2"/>
        <v>0</v>
      </c>
      <c r="O30" s="34"/>
      <c r="R30" s="34"/>
    </row>
    <row r="31" spans="2:19" ht="16" x14ac:dyDescent="0.4">
      <c r="B31" s="164"/>
      <c r="C31" s="17" t="s">
        <v>135</v>
      </c>
      <c r="D31" s="43">
        <f t="shared" ref="D31:I31" si="3">SUM(D21:D30)</f>
        <v>4462.0839329696091</v>
      </c>
      <c r="E31" s="43">
        <f t="shared" si="3"/>
        <v>66.702474999999993</v>
      </c>
      <c r="F31" s="64">
        <f t="shared" si="3"/>
        <v>6685.1700581875193</v>
      </c>
      <c r="G31" s="64">
        <f t="shared" si="3"/>
        <v>100.05371249999999</v>
      </c>
      <c r="H31" s="64">
        <f t="shared" si="3"/>
        <v>8941.8475131989853</v>
      </c>
      <c r="I31" s="64">
        <f t="shared" si="3"/>
        <v>133.40494999999999</v>
      </c>
      <c r="J31" s="65">
        <f>SUM(D31:I31)</f>
        <v>20389.262641856112</v>
      </c>
    </row>
    <row r="32" spans="2:19" x14ac:dyDescent="0.35">
      <c r="B32" s="164"/>
      <c r="C32" s="16" t="s">
        <v>136</v>
      </c>
      <c r="D32" s="63">
        <f>D31+F31+H31</f>
        <v>20089.101504356113</v>
      </c>
      <c r="E32" s="63">
        <f>E31+G31+I31</f>
        <v>300.1611375</v>
      </c>
      <c r="F32" s="14"/>
      <c r="G32" s="14"/>
      <c r="H32" s="14"/>
      <c r="I32" s="14"/>
    </row>
    <row r="34" spans="2:19" ht="14.5" customHeight="1" x14ac:dyDescent="0.35">
      <c r="B34" s="164" t="s">
        <v>172</v>
      </c>
      <c r="C34" s="165" t="s">
        <v>13</v>
      </c>
      <c r="D34" s="166" t="s">
        <v>11</v>
      </c>
      <c r="E34" s="167"/>
      <c r="F34" s="166" t="s">
        <v>170</v>
      </c>
      <c r="G34" s="167"/>
      <c r="H34" s="166" t="s">
        <v>12</v>
      </c>
      <c r="I34" s="167"/>
      <c r="J34" s="173" t="s">
        <v>137</v>
      </c>
    </row>
    <row r="35" spans="2:19" x14ac:dyDescent="0.35">
      <c r="B35" s="164"/>
      <c r="C35" s="165"/>
      <c r="D35" s="168"/>
      <c r="E35" s="169"/>
      <c r="F35" s="168"/>
      <c r="G35" s="169"/>
      <c r="H35" s="168"/>
      <c r="I35" s="169"/>
      <c r="J35" s="173"/>
    </row>
    <row r="36" spans="2:19" ht="45.5" x14ac:dyDescent="0.35">
      <c r="B36" s="164"/>
      <c r="C36" s="165"/>
      <c r="D36" s="10" t="s">
        <v>298</v>
      </c>
      <c r="E36" s="10" t="s">
        <v>299</v>
      </c>
      <c r="F36" s="10" t="s">
        <v>298</v>
      </c>
      <c r="G36" s="10" t="s">
        <v>299</v>
      </c>
      <c r="H36" s="10" t="s">
        <v>298</v>
      </c>
      <c r="I36" s="10" t="s">
        <v>299</v>
      </c>
      <c r="J36" s="173"/>
    </row>
    <row r="37" spans="2:19" ht="14.5" customHeight="1" x14ac:dyDescent="0.35">
      <c r="B37" s="164"/>
      <c r="C37" s="1" t="s">
        <v>166</v>
      </c>
      <c r="D37" s="43">
        <f>'Emissions for Pavement Options'!O143+'Emissions for Pavement Options'!O144+'Emissions for Pavement Options'!O147+'Emissions for Pavement Options'!O148</f>
        <v>0</v>
      </c>
      <c r="E37" s="43">
        <f>'Emissions for Pavement Options'!O145+'Emissions for Pavement Options'!O146+'Emissions for Pavement Options'!O149</f>
        <v>0</v>
      </c>
      <c r="F37" s="43">
        <f>'Emissions for Pavement Options'!O163+'Emissions for Pavement Options'!O164+'Emissions for Pavement Options'!O167+'Emissions for Pavement Options'!O168</f>
        <v>0</v>
      </c>
      <c r="G37" s="43">
        <f>'Emissions for Pavement Options'!O165+'Emissions for Pavement Options'!O166+'Emissions for Pavement Options'!O169</f>
        <v>0</v>
      </c>
      <c r="H37" s="43">
        <f>'Emissions for Pavement Options'!O183+'Emissions for Pavement Options'!O184+'Emissions for Pavement Options'!O187+'Emissions for Pavement Options'!O188</f>
        <v>0</v>
      </c>
      <c r="I37" s="43">
        <f>'Emissions for Pavement Options'!O185+'Emissions for Pavement Options'!O186+'Emissions for Pavement Options'!O189</f>
        <v>0</v>
      </c>
      <c r="J37" s="43">
        <f>SUM(D37+E37+F37+G37+H37+I37)</f>
        <v>0</v>
      </c>
      <c r="L37" s="34"/>
      <c r="M37" s="34"/>
      <c r="O37" s="34"/>
      <c r="P37" s="34"/>
      <c r="R37" s="34"/>
      <c r="S37" s="34"/>
    </row>
    <row r="38" spans="2:19" ht="14.5" customHeight="1" x14ac:dyDescent="0.35">
      <c r="B38" s="164"/>
      <c r="C38" s="1" t="s">
        <v>167</v>
      </c>
      <c r="D38" s="43">
        <f>'Emissions for Pavement Options'!O142</f>
        <v>0</v>
      </c>
      <c r="E38" s="96"/>
      <c r="F38" s="43">
        <f>'Emissions for Pavement Options'!O162</f>
        <v>0</v>
      </c>
      <c r="G38" s="96"/>
      <c r="H38" s="43">
        <f>'Emissions for Pavement Options'!O182</f>
        <v>0</v>
      </c>
      <c r="I38" s="96"/>
      <c r="J38" s="43">
        <f t="shared" ref="J38:J46" si="4">SUM(D38+E38+F38+G38+H38+I38)</f>
        <v>0</v>
      </c>
    </row>
    <row r="39" spans="2:19" x14ac:dyDescent="0.35">
      <c r="B39" s="164"/>
      <c r="C39" s="1" t="s">
        <v>103</v>
      </c>
      <c r="D39" s="43">
        <f>'Emissions for Pavement Options'!O140</f>
        <v>0</v>
      </c>
      <c r="E39" s="170"/>
      <c r="F39" s="43">
        <f>'Emissions for Pavement Options'!O160</f>
        <v>0</v>
      </c>
      <c r="G39" s="170"/>
      <c r="H39" s="43">
        <f>'Emissions for Pavement Options'!O180</f>
        <v>0</v>
      </c>
      <c r="I39" s="170"/>
      <c r="J39" s="43">
        <f t="shared" si="4"/>
        <v>0</v>
      </c>
    </row>
    <row r="40" spans="2:19" x14ac:dyDescent="0.35">
      <c r="B40" s="164"/>
      <c r="C40" s="1" t="s">
        <v>102</v>
      </c>
      <c r="D40" s="43">
        <f>'Emissions for Pavement Options'!O141</f>
        <v>0</v>
      </c>
      <c r="E40" s="171"/>
      <c r="F40" s="43">
        <f>'Emissions for Pavement Options'!O161</f>
        <v>0</v>
      </c>
      <c r="G40" s="171"/>
      <c r="H40" s="43">
        <f>'Emissions for Pavement Options'!O181</f>
        <v>0</v>
      </c>
      <c r="I40" s="171"/>
      <c r="J40" s="43">
        <f t="shared" si="4"/>
        <v>0</v>
      </c>
    </row>
    <row r="41" spans="2:19" x14ac:dyDescent="0.35">
      <c r="B41" s="164"/>
      <c r="C41" s="1" t="s">
        <v>100</v>
      </c>
      <c r="D41" s="43">
        <f>'Emissions for Pavement Options'!O138</f>
        <v>0</v>
      </c>
      <c r="E41" s="171"/>
      <c r="F41" s="43">
        <f>'Emissions for Pavement Options'!O158</f>
        <v>0</v>
      </c>
      <c r="G41" s="171"/>
      <c r="H41" s="43">
        <f>'Emissions for Pavement Options'!O178</f>
        <v>0</v>
      </c>
      <c r="I41" s="171"/>
      <c r="J41" s="43">
        <f t="shared" si="4"/>
        <v>0</v>
      </c>
    </row>
    <row r="42" spans="2:19" x14ac:dyDescent="0.35">
      <c r="B42" s="164"/>
      <c r="C42" s="1" t="s">
        <v>101</v>
      </c>
      <c r="D42" s="43">
        <f>'Emissions for Pavement Options'!O139</f>
        <v>0</v>
      </c>
      <c r="E42" s="171"/>
      <c r="F42" s="43">
        <f>'Emissions for Pavement Options'!O159</f>
        <v>0</v>
      </c>
      <c r="G42" s="171"/>
      <c r="H42" s="43">
        <f>'Emissions for Pavement Options'!O179</f>
        <v>0</v>
      </c>
      <c r="I42" s="171"/>
      <c r="J42" s="43">
        <f t="shared" si="4"/>
        <v>0</v>
      </c>
    </row>
    <row r="43" spans="2:19" x14ac:dyDescent="0.35">
      <c r="B43" s="164"/>
      <c r="C43" s="1" t="s">
        <v>168</v>
      </c>
      <c r="D43" s="43">
        <f>'Emissions for Pavement Options'!O136</f>
        <v>0</v>
      </c>
      <c r="E43" s="171"/>
      <c r="F43" s="43">
        <f>'Emissions for Pavement Options'!O156</f>
        <v>0</v>
      </c>
      <c r="G43" s="171"/>
      <c r="H43" s="43">
        <f>'Emissions for Pavement Options'!O176</f>
        <v>0</v>
      </c>
      <c r="I43" s="171"/>
      <c r="J43" s="43">
        <f t="shared" si="4"/>
        <v>0</v>
      </c>
    </row>
    <row r="44" spans="2:19" x14ac:dyDescent="0.35">
      <c r="B44" s="164"/>
      <c r="C44" s="1" t="s">
        <v>169</v>
      </c>
      <c r="D44" s="43">
        <f>'Emissions for Pavement Options'!O137</f>
        <v>0</v>
      </c>
      <c r="E44" s="171"/>
      <c r="F44" s="43">
        <f>'Emissions for Pavement Options'!O157</f>
        <v>0</v>
      </c>
      <c r="G44" s="171"/>
      <c r="H44" s="43">
        <f>'Emissions for Pavement Options'!O177</f>
        <v>0</v>
      </c>
      <c r="I44" s="171"/>
      <c r="J44" s="43">
        <f t="shared" si="4"/>
        <v>0</v>
      </c>
    </row>
    <row r="45" spans="2:19" x14ac:dyDescent="0.35">
      <c r="B45" s="164"/>
      <c r="C45" s="1" t="s">
        <v>9</v>
      </c>
      <c r="D45" s="43">
        <f>'Emissions for Pavement Options'!O132+'Emissions for Pavement Options'!O133++'Emissions for Pavement Options'!O134+'Emissions for Pavement Options'!O135</f>
        <v>0</v>
      </c>
      <c r="E45" s="172"/>
      <c r="F45" s="43">
        <f>'Emissions for Pavement Options'!O152+'Emissions for Pavement Options'!O153+'Emissions for Pavement Options'!O154+'Emissions for Pavement Options'!O155</f>
        <v>0</v>
      </c>
      <c r="G45" s="172"/>
      <c r="H45" s="43">
        <f>'Emissions for Pavement Options'!O172+'Emissions for Pavement Options'!O173+'Emissions for Pavement Options'!O174+'Emissions for Pavement Options'!O175</f>
        <v>0</v>
      </c>
      <c r="I45" s="172"/>
      <c r="J45" s="43">
        <f t="shared" si="4"/>
        <v>0</v>
      </c>
      <c r="L45" s="34"/>
      <c r="O45" s="34"/>
      <c r="R45" s="34"/>
    </row>
    <row r="46" spans="2:19" x14ac:dyDescent="0.35">
      <c r="B46" s="164"/>
      <c r="C46" s="27" t="s">
        <v>207</v>
      </c>
      <c r="D46" s="43">
        <f>'Emissions for Pavement Options'!O150+'Emissions for Pavement Options'!O151</f>
        <v>0</v>
      </c>
      <c r="E46" s="96"/>
      <c r="F46" s="64">
        <f>'Emissions for Pavement Options'!O170+'Emissions for Pavement Options'!O171</f>
        <v>0</v>
      </c>
      <c r="G46" s="96"/>
      <c r="H46" s="64">
        <f>'Emissions for Pavement Options'!O190+'Emissions for Pavement Options'!O191</f>
        <v>0</v>
      </c>
      <c r="I46" s="96"/>
      <c r="J46" s="43">
        <f t="shared" si="4"/>
        <v>0</v>
      </c>
      <c r="L46" s="34"/>
      <c r="O46" s="34"/>
      <c r="R46" s="34"/>
    </row>
    <row r="47" spans="2:19" ht="16" x14ac:dyDescent="0.4">
      <c r="B47" s="164"/>
      <c r="C47" s="17" t="s">
        <v>135</v>
      </c>
      <c r="D47" s="43">
        <f t="shared" ref="D47:I47" si="5">SUM(D37:D46)</f>
        <v>0</v>
      </c>
      <c r="E47" s="43">
        <f t="shared" si="5"/>
        <v>0</v>
      </c>
      <c r="F47" s="64">
        <f t="shared" si="5"/>
        <v>0</v>
      </c>
      <c r="G47" s="64">
        <f t="shared" si="5"/>
        <v>0</v>
      </c>
      <c r="H47" s="64">
        <f t="shared" si="5"/>
        <v>0</v>
      </c>
      <c r="I47" s="64">
        <f t="shared" si="5"/>
        <v>0</v>
      </c>
      <c r="J47" s="65">
        <f>SUM(D47:I47)</f>
        <v>0</v>
      </c>
    </row>
    <row r="48" spans="2:19" x14ac:dyDescent="0.35">
      <c r="B48" s="164"/>
      <c r="C48" s="16" t="s">
        <v>136</v>
      </c>
      <c r="D48" s="63">
        <f>D47+F47+H47</f>
        <v>0</v>
      </c>
      <c r="E48" s="63">
        <f>E47+G47+I47</f>
        <v>0</v>
      </c>
      <c r="F48" s="14"/>
      <c r="G48" s="14"/>
      <c r="H48" s="14"/>
      <c r="I48" s="14"/>
    </row>
    <row r="50" spans="2:16" ht="14.5" customHeight="1" x14ac:dyDescent="0.35">
      <c r="B50" s="164" t="s">
        <v>173</v>
      </c>
      <c r="C50" s="165" t="s">
        <v>13</v>
      </c>
      <c r="D50" s="166" t="s">
        <v>11</v>
      </c>
      <c r="E50" s="167"/>
      <c r="F50" s="166" t="s">
        <v>170</v>
      </c>
      <c r="G50" s="167"/>
      <c r="H50" s="166" t="s">
        <v>12</v>
      </c>
      <c r="I50" s="167"/>
      <c r="J50" s="173" t="s">
        <v>137</v>
      </c>
    </row>
    <row r="51" spans="2:16" x14ac:dyDescent="0.35">
      <c r="B51" s="164"/>
      <c r="C51" s="165"/>
      <c r="D51" s="168"/>
      <c r="E51" s="169"/>
      <c r="F51" s="168"/>
      <c r="G51" s="169"/>
      <c r="H51" s="168"/>
      <c r="I51" s="169"/>
      <c r="J51" s="173"/>
    </row>
    <row r="52" spans="2:16" ht="45.5" x14ac:dyDescent="0.35">
      <c r="B52" s="164"/>
      <c r="C52" s="165"/>
      <c r="D52" s="10" t="s">
        <v>298</v>
      </c>
      <c r="E52" s="10" t="s">
        <v>299</v>
      </c>
      <c r="F52" s="10" t="s">
        <v>298</v>
      </c>
      <c r="G52" s="10" t="s">
        <v>299</v>
      </c>
      <c r="H52" s="10" t="s">
        <v>298</v>
      </c>
      <c r="I52" s="10" t="s">
        <v>299</v>
      </c>
      <c r="J52" s="173"/>
    </row>
    <row r="53" spans="2:16" ht="14.5" customHeight="1" x14ac:dyDescent="0.35">
      <c r="B53" s="164"/>
      <c r="C53" s="1" t="s">
        <v>166</v>
      </c>
      <c r="D53" s="43">
        <f>'Emissions for Pavement Options'!O207+'Emissions for Pavement Options'!O208+'Emissions for Pavement Options'!O211+'Emissions for Pavement Options'!O212</f>
        <v>0</v>
      </c>
      <c r="E53" s="43">
        <f>'Emissions for Pavement Options'!O209+'Emissions for Pavement Options'!O210+'Emissions for Pavement Options'!O213</f>
        <v>0</v>
      </c>
      <c r="F53" s="43">
        <f>'Emissions for Pavement Options'!O227+'Emissions for Pavement Options'!O228+'Emissions for Pavement Options'!O231+'Emissions for Pavement Options'!O232</f>
        <v>0</v>
      </c>
      <c r="G53" s="43">
        <f>'Emissions for Pavement Options'!O229+'Emissions for Pavement Options'!O230+'Emissions for Pavement Options'!O233</f>
        <v>0</v>
      </c>
      <c r="H53" s="43">
        <f>'Emissions for Pavement Options'!O247+'Emissions for Pavement Options'!O248+'Emissions for Pavement Options'!O251+'Emissions for Pavement Options'!O252</f>
        <v>0</v>
      </c>
      <c r="I53" s="43">
        <f>'Emissions for Pavement Options'!O249+'Emissions for Pavement Options'!O250+'Emissions for Pavement Options'!O253</f>
        <v>0</v>
      </c>
      <c r="J53" s="43">
        <f>SUM(D53+E53+F53+G53+H53+I53)</f>
        <v>0</v>
      </c>
      <c r="L53" s="34"/>
      <c r="M53" s="34"/>
      <c r="O53" s="34"/>
      <c r="P53" s="34"/>
    </row>
    <row r="54" spans="2:16" ht="14.5" customHeight="1" x14ac:dyDescent="0.35">
      <c r="B54" s="164"/>
      <c r="C54" s="1" t="s">
        <v>167</v>
      </c>
      <c r="D54" s="43">
        <f>'Emissions for Pavement Options'!O206</f>
        <v>0</v>
      </c>
      <c r="E54" s="96"/>
      <c r="F54" s="43">
        <f>'Emissions for Pavement Options'!O226</f>
        <v>0</v>
      </c>
      <c r="G54" s="96"/>
      <c r="H54" s="43">
        <f>'Emissions for Pavement Options'!O246</f>
        <v>0</v>
      </c>
      <c r="I54" s="96"/>
      <c r="J54" s="43">
        <f t="shared" ref="J54:J62" si="6">SUM(D54+E54+F54+G54+H54+I54)</f>
        <v>0</v>
      </c>
    </row>
    <row r="55" spans="2:16" x14ac:dyDescent="0.35">
      <c r="B55" s="164"/>
      <c r="C55" s="1" t="s">
        <v>103</v>
      </c>
      <c r="D55" s="43">
        <f>'Emissions for Pavement Options'!O204</f>
        <v>0</v>
      </c>
      <c r="E55" s="170"/>
      <c r="F55" s="43">
        <f>'Emissions for Pavement Options'!O224</f>
        <v>0</v>
      </c>
      <c r="G55" s="170"/>
      <c r="H55" s="43">
        <f>'Emissions for Pavement Options'!O244</f>
        <v>0</v>
      </c>
      <c r="I55" s="170"/>
      <c r="J55" s="43">
        <f t="shared" si="6"/>
        <v>0</v>
      </c>
    </row>
    <row r="56" spans="2:16" x14ac:dyDescent="0.35">
      <c r="B56" s="164"/>
      <c r="C56" s="1" t="s">
        <v>102</v>
      </c>
      <c r="D56" s="43">
        <f>'Emissions for Pavement Options'!O205</f>
        <v>0</v>
      </c>
      <c r="E56" s="171"/>
      <c r="F56" s="43">
        <f>'Emissions for Pavement Options'!O225</f>
        <v>0</v>
      </c>
      <c r="G56" s="171"/>
      <c r="H56" s="43">
        <f>'Emissions for Pavement Options'!O245</f>
        <v>0</v>
      </c>
      <c r="I56" s="171"/>
      <c r="J56" s="43">
        <f t="shared" si="6"/>
        <v>0</v>
      </c>
    </row>
    <row r="57" spans="2:16" x14ac:dyDescent="0.35">
      <c r="B57" s="164"/>
      <c r="C57" s="1" t="s">
        <v>100</v>
      </c>
      <c r="D57" s="43">
        <f>'Emissions for Pavement Options'!O202</f>
        <v>0</v>
      </c>
      <c r="E57" s="171"/>
      <c r="F57" s="43">
        <f>'Emissions for Pavement Options'!O222</f>
        <v>0</v>
      </c>
      <c r="G57" s="171"/>
      <c r="H57" s="43">
        <f>'Emissions for Pavement Options'!O242</f>
        <v>0</v>
      </c>
      <c r="I57" s="171"/>
      <c r="J57" s="43">
        <f t="shared" si="6"/>
        <v>0</v>
      </c>
    </row>
    <row r="58" spans="2:16" x14ac:dyDescent="0.35">
      <c r="B58" s="164"/>
      <c r="C58" s="1" t="s">
        <v>101</v>
      </c>
      <c r="D58" s="43">
        <f>'Emissions for Pavement Options'!O203</f>
        <v>0</v>
      </c>
      <c r="E58" s="171"/>
      <c r="F58" s="43">
        <f>'Emissions for Pavement Options'!O223</f>
        <v>0</v>
      </c>
      <c r="G58" s="171"/>
      <c r="H58" s="43">
        <f>'Emissions for Pavement Options'!O243</f>
        <v>0</v>
      </c>
      <c r="I58" s="171"/>
      <c r="J58" s="43">
        <f t="shared" si="6"/>
        <v>0</v>
      </c>
    </row>
    <row r="59" spans="2:16" x14ac:dyDescent="0.35">
      <c r="B59" s="164"/>
      <c r="C59" s="1" t="s">
        <v>168</v>
      </c>
      <c r="D59" s="43">
        <f>'Emissions for Pavement Options'!O200</f>
        <v>0</v>
      </c>
      <c r="E59" s="171"/>
      <c r="F59" s="43">
        <f>'Emissions for Pavement Options'!O220</f>
        <v>0</v>
      </c>
      <c r="G59" s="171"/>
      <c r="H59" s="43">
        <f>'Emissions for Pavement Options'!O240</f>
        <v>0</v>
      </c>
      <c r="I59" s="171"/>
      <c r="J59" s="43">
        <f t="shared" si="6"/>
        <v>0</v>
      </c>
    </row>
    <row r="60" spans="2:16" x14ac:dyDescent="0.35">
      <c r="B60" s="164"/>
      <c r="C60" s="1" t="s">
        <v>169</v>
      </c>
      <c r="D60" s="43">
        <f>'Emissions for Pavement Options'!O201</f>
        <v>0</v>
      </c>
      <c r="E60" s="171"/>
      <c r="F60" s="43">
        <f>'Emissions for Pavement Options'!O221</f>
        <v>0</v>
      </c>
      <c r="G60" s="171"/>
      <c r="H60" s="43">
        <f>'Emissions for Pavement Options'!O241</f>
        <v>0</v>
      </c>
      <c r="I60" s="171"/>
      <c r="J60" s="43">
        <f t="shared" si="6"/>
        <v>0</v>
      </c>
    </row>
    <row r="61" spans="2:16" x14ac:dyDescent="0.35">
      <c r="B61" s="164"/>
      <c r="C61" s="1" t="s">
        <v>9</v>
      </c>
      <c r="D61" s="43">
        <f>'Emissions for Pavement Options'!O196+'Emissions for Pavement Options'!O197++'Emissions for Pavement Options'!O198+'Emissions for Pavement Options'!O199</f>
        <v>0</v>
      </c>
      <c r="E61" s="172"/>
      <c r="F61" s="43">
        <f>'Emissions for Pavement Options'!O216+'Emissions for Pavement Options'!O217+'Emissions for Pavement Options'!O218+'Emissions for Pavement Options'!O219</f>
        <v>0</v>
      </c>
      <c r="G61" s="172"/>
      <c r="H61" s="43">
        <f>'Emissions for Pavement Options'!O236+'Emissions for Pavement Options'!O237+'Emissions for Pavement Options'!O238+'Emissions for Pavement Options'!O239</f>
        <v>0</v>
      </c>
      <c r="I61" s="172"/>
      <c r="J61" s="43">
        <f t="shared" si="6"/>
        <v>0</v>
      </c>
      <c r="L61" s="34"/>
      <c r="O61" s="34"/>
    </row>
    <row r="62" spans="2:16" x14ac:dyDescent="0.35">
      <c r="B62" s="164"/>
      <c r="C62" s="27" t="s">
        <v>207</v>
      </c>
      <c r="D62" s="43">
        <f>'Emissions for Pavement Options'!O214+'Emissions for Pavement Options'!O215</f>
        <v>0</v>
      </c>
      <c r="E62" s="96"/>
      <c r="F62" s="64">
        <f>'Emissions for Pavement Options'!O234+'Emissions for Pavement Options'!O235</f>
        <v>0</v>
      </c>
      <c r="G62" s="96"/>
      <c r="H62" s="64">
        <f>'Emissions for Pavement Options'!O254+'Emissions for Pavement Options'!O255</f>
        <v>0</v>
      </c>
      <c r="I62" s="96"/>
      <c r="J62" s="43">
        <f t="shared" si="6"/>
        <v>0</v>
      </c>
      <c r="L62" s="34"/>
      <c r="O62" s="34"/>
    </row>
    <row r="63" spans="2:16" ht="16" x14ac:dyDescent="0.4">
      <c r="B63" s="164"/>
      <c r="C63" s="17" t="s">
        <v>135</v>
      </c>
      <c r="D63" s="43">
        <f t="shared" ref="D63:I63" si="7">SUM(D53:D62)</f>
        <v>0</v>
      </c>
      <c r="E63" s="43">
        <f t="shared" si="7"/>
        <v>0</v>
      </c>
      <c r="F63" s="64">
        <f t="shared" si="7"/>
        <v>0</v>
      </c>
      <c r="G63" s="64">
        <f t="shared" si="7"/>
        <v>0</v>
      </c>
      <c r="H63" s="64">
        <f t="shared" si="7"/>
        <v>0</v>
      </c>
      <c r="I63" s="64">
        <f t="shared" si="7"/>
        <v>0</v>
      </c>
      <c r="J63" s="65">
        <f>SUM(D63:I63)</f>
        <v>0</v>
      </c>
    </row>
    <row r="64" spans="2:16" x14ac:dyDescent="0.35">
      <c r="B64" s="164"/>
      <c r="C64" s="16" t="s">
        <v>136</v>
      </c>
      <c r="D64" s="63">
        <f>D63+F63+H63</f>
        <v>0</v>
      </c>
      <c r="E64" s="63">
        <f>E63+G63+I63</f>
        <v>0</v>
      </c>
      <c r="F64" s="14"/>
      <c r="G64" s="14"/>
      <c r="H64" s="14"/>
      <c r="I64" s="14"/>
    </row>
  </sheetData>
  <sheetProtection algorithmName="SHA-512" hashValue="e/wnq3kQBGv92XvApydysdScj1I6NdWIaMlQbk8A3z36U3TGNSjJrhJ2KRmNwivUNyA98ugqrDHAdPDluoUlRw==" saltValue="PHUb/T17MEv/cc9bgeup4A==" spinCount="100000" sheet="1" objects="1" scenarios="1" formatCells="0" formatColumns="0" formatRows="0" insertHyperlinks="0" sort="0" autoFilter="0"/>
  <mergeCells count="36">
    <mergeCell ref="J2:J4"/>
    <mergeCell ref="E7:E13"/>
    <mergeCell ref="G7:G13"/>
    <mergeCell ref="I7:I13"/>
    <mergeCell ref="B18:B32"/>
    <mergeCell ref="C18:C20"/>
    <mergeCell ref="D18:E19"/>
    <mergeCell ref="B2:B16"/>
    <mergeCell ref="C2:C4"/>
    <mergeCell ref="D2:E3"/>
    <mergeCell ref="F2:G3"/>
    <mergeCell ref="H2:I3"/>
    <mergeCell ref="F18:G19"/>
    <mergeCell ref="H18:I19"/>
    <mergeCell ref="J18:J20"/>
    <mergeCell ref="E23:E29"/>
    <mergeCell ref="J50:J52"/>
    <mergeCell ref="E55:E61"/>
    <mergeCell ref="G55:G61"/>
    <mergeCell ref="I55:I61"/>
    <mergeCell ref="J34:J36"/>
    <mergeCell ref="G23:G29"/>
    <mergeCell ref="I23:I29"/>
    <mergeCell ref="B34:B48"/>
    <mergeCell ref="C34:C36"/>
    <mergeCell ref="D34:E35"/>
    <mergeCell ref="F34:G35"/>
    <mergeCell ref="H34:I35"/>
    <mergeCell ref="E39:E45"/>
    <mergeCell ref="G39:G45"/>
    <mergeCell ref="I39:I45"/>
    <mergeCell ref="B50:B64"/>
    <mergeCell ref="C50:C52"/>
    <mergeCell ref="D50:E51"/>
    <mergeCell ref="F50:G51"/>
    <mergeCell ref="H50:I5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2276EAFDD66F4F976D620E797742A9" ma:contentTypeVersion="22" ma:contentTypeDescription="Create a new document." ma:contentTypeScope="" ma:versionID="53d9bfd296f980e6549130bb0e106c4b">
  <xsd:schema xmlns:xsd="http://www.w3.org/2001/XMLSchema" xmlns:xs="http://www.w3.org/2001/XMLSchema" xmlns:p="http://schemas.microsoft.com/office/2006/metadata/properties" xmlns:ns2="a763fe67-770f-4aa8-969c-71bb2a7b8b8e" xmlns:ns3="08c93e4d-68cf-4ae3-8947-82095c144867" targetNamespace="http://schemas.microsoft.com/office/2006/metadata/properties" ma:root="true" ma:fieldsID="c71813b3197fa75ff0b9861316ee17ef" ns2:_="" ns3:_="">
    <xsd:import namespace="a763fe67-770f-4aa8-969c-71bb2a7b8b8e"/>
    <xsd:import namespace="08c93e4d-68cf-4ae3-8947-82095c144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3fe67-770f-4aa8-969c-71bb2a7b8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26fd0f8-98a3-45fe-82a9-593da232811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c93e4d-68cf-4ae3-8947-82095c14486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ae1ecd5-fccd-4792-8f6f-3df2c64b3239}" ma:internalName="TaxCatchAll" ma:showField="CatchAllData" ma:web="08c93e4d-68cf-4ae3-8947-82095c144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63fe67-770f-4aa8-969c-71bb2a7b8b8e">
      <Terms xmlns="http://schemas.microsoft.com/office/infopath/2007/PartnerControls"/>
    </lcf76f155ced4ddcb4097134ff3c332f>
    <TaxCatchAll xmlns="08c93e4d-68cf-4ae3-8947-82095c144867" xsi:nil="true"/>
  </documentManagement>
</p:properties>
</file>

<file path=customXml/itemProps1.xml><?xml version="1.0" encoding="utf-8"?>
<ds:datastoreItem xmlns:ds="http://schemas.openxmlformats.org/officeDocument/2006/customXml" ds:itemID="{D80D6A50-1DB2-4047-9A7F-75AF2D48C52D}">
  <ds:schemaRefs>
    <ds:schemaRef ds:uri="http://schemas.microsoft.com/sharepoint/v3/contenttype/forms"/>
  </ds:schemaRefs>
</ds:datastoreItem>
</file>

<file path=customXml/itemProps2.xml><?xml version="1.0" encoding="utf-8"?>
<ds:datastoreItem xmlns:ds="http://schemas.openxmlformats.org/officeDocument/2006/customXml" ds:itemID="{D79C8754-9E82-457D-84B5-CF3BEC0CD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3fe67-770f-4aa8-969c-71bb2a7b8b8e"/>
    <ds:schemaRef ds:uri="08c93e4d-68cf-4ae3-8947-82095c144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EF84BD-333D-43B4-8ED7-A355FCF91393}">
  <ds:schemaRef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a763fe67-770f-4aa8-969c-71bb2a7b8b8e"/>
    <ds:schemaRef ds:uri="http://www.w3.org/XML/1998/namespace"/>
    <ds:schemaRef ds:uri="http://schemas.microsoft.com/office/infopath/2007/PartnerControls"/>
    <ds:schemaRef ds:uri="08c93e4d-68cf-4ae3-8947-82095c14486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General Instructions</vt:lpstr>
      <vt:lpstr>Dashboard</vt:lpstr>
      <vt:lpstr>Materials Unit Costs</vt:lpstr>
      <vt:lpstr>Pavement Options</vt:lpstr>
      <vt:lpstr>Emissions for Pavement Options</vt:lpstr>
      <vt:lpstr>Resilience and ESIA Scores</vt:lpstr>
      <vt:lpstr>Summary of Section Costs</vt:lpstr>
      <vt:lpstr>Summary of Emission Quantities</vt:lpstr>
      <vt:lpstr>CO2e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Otto</dc:creator>
  <cp:lastModifiedBy>Andrew Otto</cp:lastModifiedBy>
  <dcterms:created xsi:type="dcterms:W3CDTF">2024-08-19T17:00:58Z</dcterms:created>
  <dcterms:modified xsi:type="dcterms:W3CDTF">2024-11-17T11:04:49Z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0x010100192276EAFDD66F4F976D620E797742A9</vt:lpwstr>
  </property>
  <property fmtid="{D5CDD505-2E9C-101B-9397-08002B2CF9AE}" pid="3" name="MediaServiceImageTags">
    <vt:lpwstr/>
  </property>
</Properties>
</file>